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DIqKi8SmAGu9RKCD4LDIBnRHT9EJCugSLv9+aOjQWk6/wbFYjDO7n6PaAWOOYkZ2XQDmlp2Yt39JMpg6m4+JxQ==" workbookSaltValue="Wl9TM8jxviQpPe3RVkj/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V15" i="11"/>
  <c r="BH15" i="11"/>
  <c r="Q17" i="20"/>
  <c r="Q18" i="20" s="1"/>
  <c r="BF17" i="11"/>
  <c r="S17" i="16"/>
  <c r="S13" i="16"/>
  <c r="P13" i="16"/>
  <c r="AM13" i="20"/>
  <c r="V17" i="16"/>
  <c r="K18" i="2"/>
  <c r="M13" i="2"/>
  <c r="M18" i="2"/>
  <c r="N13" i="2"/>
  <c r="N18" i="2"/>
  <c r="T13" i="12"/>
  <c r="BK15" i="11"/>
  <c r="AZ17" i="11"/>
  <c r="Q10" i="21"/>
  <c r="BJ11" i="11"/>
  <c r="BI17" i="11"/>
  <c r="BG15" i="11"/>
  <c r="R17" i="20"/>
  <c r="BK17" i="11"/>
  <c r="AZ9" i="11"/>
  <c r="AZ13" i="11" s="1"/>
  <c r="AP17" i="20"/>
  <c r="AZ15" i="11"/>
  <c r="AZ18" i="11" s="1"/>
  <c r="BU11" i="17"/>
  <c r="BV17" i="16"/>
  <c r="BU10" i="17"/>
  <c r="BV12" i="16"/>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AH13" i="16"/>
  <c r="L15" i="2"/>
  <c r="L16" i="2"/>
  <c r="X10" i="21"/>
  <c r="U9" i="17"/>
  <c r="U19" i="17" s="1"/>
  <c r="L9" i="2"/>
  <c r="R18" i="20"/>
  <c r="AP13" i="16"/>
  <c r="V9" i="16"/>
  <c r="T18" i="17"/>
  <c r="BG15" i="13"/>
  <c r="BE16" i="13"/>
  <c r="BE15" i="13"/>
  <c r="AX20" i="20"/>
  <c r="S19" i="8" l="1"/>
  <c r="AB13" i="21"/>
  <c r="C13" i="7"/>
  <c r="BG10" i="8"/>
  <c r="C12" i="14"/>
  <c r="K12" i="14" s="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R10" i="21"/>
  <c r="R13" i="21" s="1"/>
  <c r="R19" i="21" s="1"/>
  <c r="V9" i="11"/>
  <c r="BI10" i="11"/>
  <c r="S9" i="17"/>
  <c r="V12" i="21"/>
  <c r="BL12" i="11"/>
  <c r="BF16" i="11"/>
  <c r="V11" i="16"/>
  <c r="BH15" i="16"/>
  <c r="BJ17" i="11"/>
  <c r="BH9" i="16"/>
  <c r="AL16" i="11"/>
  <c r="C16" i="6"/>
  <c r="BE9" i="13"/>
  <c r="AP15" i="20"/>
  <c r="BJ12" i="11"/>
  <c r="BJ15" i="11"/>
  <c r="BI15" i="11"/>
  <c r="BH9" i="11"/>
  <c r="BM12" i="11"/>
  <c r="AP10" i="21"/>
  <c r="V11" i="11"/>
  <c r="BK11" i="11"/>
  <c r="X11" i="17"/>
  <c r="BK9" i="11"/>
  <c r="BF10" i="11"/>
  <c r="BK12" i="11"/>
  <c r="BL17" i="11"/>
  <c r="P17" i="17"/>
  <c r="BM16" i="11"/>
  <c r="BG10" i="11"/>
  <c r="BH17" i="16"/>
  <c r="BL9" i="11"/>
  <c r="BH11" i="16"/>
  <c r="BF11" i="11"/>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I19" i="11" l="1"/>
  <c r="BF13" i="8"/>
  <c r="G19" i="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<sst xmlns="http://schemas.openxmlformats.org/spreadsheetml/2006/main" count="2102" uniqueCount="918">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</sst>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vi6RYsbJp6LtBryFSRJkxZ0GbpssVjGlmh4KA8oKBOUuL+fIhPz4tSAghygoZ0gxM/jqqaG9MFlFZvgqvyzw==" saltValue="OQe94JjoantobIXQKzYm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0</v>
      </c>
      <c r="F10" s="226">
        <f>IF(ISNUMBER(Datos!K10),Datos!K10," - ")</f>
        <v>1</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-7.1428571428571425E-2</v>
      </c>
      <c r="L10" s="1025">
        <f>IF(ISNUMBER(NºAsuntos!I10/NºAsuntos!G10),(NºAsuntos!I10/NºAsuntos!G10)*11," - ")</f>
        <v>143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177</v>
      </c>
      <c r="D16" s="225">
        <f>IF(ISNUMBER(IF(D_I="SI",Datos!I16,Datos!I16+Datos!AC16)),IF(D_I="SI",Datos!I16,Datos!I16+Datos!AC16)," - ")</f>
        <v>176</v>
      </c>
      <c r="E16" s="226">
        <f>IF(ISNUMBER(IF(D_I="SI",Datos!J16,Datos!J16+Datos!AD16)),IF(D_I="SI",Datos!J16,Datos!J16+Datos!AD16)," - ")</f>
        <v>365</v>
      </c>
      <c r="F16" s="226">
        <f>IF(ISNUMBER(IF(D_I="SI",Datos!K16,Datos!K16+Datos!AE16)),IF(D_I="SI",Datos!K16,Datos!K16+Datos!AE16)," - ")</f>
        <v>350</v>
      </c>
      <c r="G16" s="1034" t="str">
        <f>IF(Datos!E16&lt;&gt;"",Datos!E16,Datos!D16)</f>
        <v>04</v>
      </c>
      <c r="H16" s="227">
        <f>IF(ISNUMBER(IF(D_I="SI",Datos!L16,Datos!L16+Datos!AF16)),IF(D_I="SI",Datos!L16,Datos!L16+Datos!AF16)," - ")</f>
        <v>192</v>
      </c>
      <c r="I16" s="1044" t="str">
        <f>IF(ISNUMBER(Datos!AS16/Datos!BM16),Datos!AS16/Datos!BM16," - ")</f>
        <v xml:space="preserve"> - </v>
      </c>
      <c r="J16" s="1045">
        <f>IF(ISNUMBER(Datos!BY16/Datos!CN16),Datos!BY16/Datos!CN16," - ")</f>
        <v>0</v>
      </c>
      <c r="K16" s="230">
        <f t="shared" si="3"/>
        <v>8.4745762711864403E-2</v>
      </c>
      <c r="L16" s="1025">
        <f>IF(ISNUMBER(NºAsuntos!I16/NºAsuntos!G16),(NºAsuntos!I16/NºAsuntos!G16)*11," - ")</f>
        <v>6.0342857142857147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11</v>
      </c>
      <c r="E17" s="226">
        <f>IF(ISNUMBER(IF(D_I="SI",Datos!J17,Datos!J17+Datos!AD17)),IF(D_I="SI",Datos!J17,Datos!J17+Datos!AD17)," - ")</f>
        <v>32</v>
      </c>
      <c r="F17" s="226">
        <f>IF(ISNUMBER(IF(D_I="SI",Datos!K17,Datos!K17+Datos!AE17)),IF(D_I="SI",Datos!K17,Datos!K17+Datos!AE17)," - ")</f>
        <v>23</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0.75</v>
      </c>
      <c r="L17" s="1025">
        <f>IF(ISNUMBER(NºAsuntos!I17/NºAsuntos!G17),(NºAsuntos!I17/NºAsuntos!G17)*11," - ")</f>
        <v>10.043478260869565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189</v>
      </c>
      <c r="D18" s="1049">
        <f>SUBTOTAL(9,D15:D17)</f>
        <v>187</v>
      </c>
      <c r="E18" s="1050">
        <f>SUBTOTAL(9,E15:E17)</f>
        <v>397</v>
      </c>
      <c r="F18" s="1050">
        <f>SUBTOTAL(9,F15:F17)</f>
        <v>373</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203</v>
      </c>
      <c r="D19" s="1071">
        <f>SUBTOTAL(9,D9:D18)</f>
        <v>201</v>
      </c>
      <c r="E19" s="1072">
        <f>SUBTOTAL(9,E9:E18)</f>
        <v>397</v>
      </c>
      <c r="F19" s="1072">
        <f>SUBTOTAL(9,F9:F18)</f>
        <v>374</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S7ueuMgfh8pywW1VpOGpEtLGsvSevltlkA8umIfcapFdq6G5nZTIoIxycSQnrxRY0UiCdBKZ0VO/JQpMFJjbw==" saltValue="muZBWfdcl0jOjoCA4CTaN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pB7RXpi45sJ3RF82bfOKQCInZjq7Mgrx79zjuRNYglnHB3LQuE9pj0iuDrLLfVGm/y/dxWVBeM0Ye+PQn1ddQ==" saltValue="L7bvGF3BYH/D7dO2vZ1/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0</v>
      </c>
      <c r="K10" s="181">
        <v>1</v>
      </c>
      <c r="L10" s="181">
        <v>13</v>
      </c>
      <c r="M10" s="181">
        <v>0</v>
      </c>
      <c r="N10" s="181">
        <v>1</v>
      </c>
      <c r="O10" s="181">
        <v>0</v>
      </c>
      <c r="P10" s="181">
        <v>1</v>
      </c>
      <c r="Q10" s="181">
        <v>0</v>
      </c>
      <c r="R10" s="181">
        <v>2</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603</v>
      </c>
      <c r="J12" s="183">
        <v>279</v>
      </c>
      <c r="K12" s="183">
        <v>144</v>
      </c>
      <c r="L12" s="183">
        <v>738</v>
      </c>
      <c r="M12" s="183">
        <v>26</v>
      </c>
      <c r="N12" s="183">
        <v>74</v>
      </c>
      <c r="O12" s="181">
        <v>76</v>
      </c>
      <c r="P12" s="183">
        <v>57</v>
      </c>
      <c r="Q12" s="183">
        <v>27</v>
      </c>
      <c r="R12" s="183">
        <v>1040</v>
      </c>
      <c r="S12" s="183">
        <v>453</v>
      </c>
      <c r="T12" s="183">
        <v>196</v>
      </c>
      <c r="U12" s="183">
        <v>147</v>
      </c>
      <c r="V12" s="183">
        <v>502</v>
      </c>
      <c r="W12" s="183">
        <v>29</v>
      </c>
      <c r="X12" s="189">
        <v>111</v>
      </c>
      <c r="Y12" s="191">
        <v>38</v>
      </c>
      <c r="Z12" s="181">
        <v>39</v>
      </c>
      <c r="AA12" s="181">
        <v>31</v>
      </c>
      <c r="AB12" s="181">
        <v>46</v>
      </c>
      <c r="AC12" s="183">
        <v>0</v>
      </c>
      <c r="AD12" s="183">
        <v>0</v>
      </c>
      <c r="AE12" s="183">
        <v>0</v>
      </c>
      <c r="AF12" s="189">
        <v>0</v>
      </c>
      <c r="AG12" s="202">
        <v>41</v>
      </c>
      <c r="AH12" s="183">
        <v>39</v>
      </c>
      <c r="AI12" s="183">
        <v>45</v>
      </c>
      <c r="AJ12" s="203">
        <v>35</v>
      </c>
      <c r="AK12" s="182">
        <v>0</v>
      </c>
      <c r="AL12" s="183">
        <v>0</v>
      </c>
      <c r="AM12" s="183">
        <v>0</v>
      </c>
      <c r="AN12" s="189">
        <v>0</v>
      </c>
      <c r="AO12" s="259">
        <v>2</v>
      </c>
      <c r="AP12" s="155">
        <v>2</v>
      </c>
      <c r="AQ12" s="155">
        <v>2</v>
      </c>
      <c r="AR12" s="154">
        <v>2</v>
      </c>
      <c r="AS12" s="340" t="s">
        <v>802</v>
      </c>
      <c r="AT12" s="203"/>
      <c r="AU12" s="202"/>
      <c r="AV12" s="203"/>
      <c r="AW12" s="202"/>
      <c r="AX12" s="203"/>
      <c r="AY12" s="126">
        <f t="shared" si="1"/>
        <v>494</v>
      </c>
      <c r="AZ12" s="127">
        <f t="shared" si="1"/>
        <v>235</v>
      </c>
      <c r="BA12" s="127">
        <f t="shared" si="1"/>
        <v>192</v>
      </c>
      <c r="BB12" s="127">
        <f t="shared" si="1"/>
        <v>537</v>
      </c>
      <c r="BC12" s="125">
        <f>IF(ISNUMBER(X12),X12," - ")</f>
        <v>111</v>
      </c>
      <c r="BD12" s="126">
        <f t="shared" si="2"/>
        <v>0.81702127659574464</v>
      </c>
      <c r="BE12" s="127">
        <f t="shared" si="3"/>
        <v>2.796875</v>
      </c>
      <c r="BF12" s="127">
        <f t="shared" si="4"/>
        <v>0.578125</v>
      </c>
      <c r="BG12" s="196">
        <f t="shared" si="5"/>
        <v>3.796875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617</v>
      </c>
      <c r="J13" s="184">
        <f t="shared" si="6"/>
        <v>279</v>
      </c>
      <c r="K13" s="184">
        <f t="shared" si="6"/>
        <v>145</v>
      </c>
      <c r="L13" s="184">
        <f t="shared" si="6"/>
        <v>751</v>
      </c>
      <c r="M13" s="184">
        <f t="shared" si="6"/>
        <v>26</v>
      </c>
      <c r="N13" s="184">
        <f t="shared" si="6"/>
        <v>75</v>
      </c>
      <c r="O13" s="184">
        <f t="shared" si="6"/>
        <v>76</v>
      </c>
      <c r="P13" s="184">
        <f t="shared" si="6"/>
        <v>58</v>
      </c>
      <c r="Q13" s="184">
        <f t="shared" si="6"/>
        <v>27</v>
      </c>
      <c r="R13" s="184">
        <f t="shared" si="6"/>
        <v>1042</v>
      </c>
      <c r="S13" s="184">
        <f t="shared" si="6"/>
        <v>457</v>
      </c>
      <c r="T13" s="184">
        <f t="shared" si="6"/>
        <v>196</v>
      </c>
      <c r="U13" s="184">
        <f t="shared" si="6"/>
        <v>147</v>
      </c>
      <c r="V13" s="184">
        <f t="shared" si="6"/>
        <v>506</v>
      </c>
      <c r="W13" s="184">
        <f t="shared" si="6"/>
        <v>29</v>
      </c>
      <c r="X13" s="184">
        <f t="shared" si="6"/>
        <v>111</v>
      </c>
      <c r="Y13" s="184">
        <f t="shared" si="6"/>
        <v>38</v>
      </c>
      <c r="Z13" s="184">
        <f t="shared" si="6"/>
        <v>39</v>
      </c>
      <c r="AA13" s="184">
        <f t="shared" si="6"/>
        <v>31</v>
      </c>
      <c r="AB13" s="184">
        <f t="shared" si="6"/>
        <v>46</v>
      </c>
      <c r="AC13" s="184">
        <f t="shared" si="6"/>
        <v>0</v>
      </c>
      <c r="AD13" s="184">
        <f t="shared" si="6"/>
        <v>0</v>
      </c>
      <c r="AE13" s="184">
        <f t="shared" si="6"/>
        <v>0</v>
      </c>
      <c r="AF13" s="184">
        <f>SUBTOTAL(9,AF9:AF12)</f>
        <v>0</v>
      </c>
      <c r="AG13" s="184">
        <f t="shared" ref="AG13:AT13" si="7">SUBTOTAL(9,AG8:AG12)</f>
        <v>41</v>
      </c>
      <c r="AH13" s="184">
        <f t="shared" si="7"/>
        <v>39</v>
      </c>
      <c r="AI13" s="184">
        <f t="shared" si="7"/>
        <v>45</v>
      </c>
      <c r="AJ13" s="184">
        <f t="shared" si="7"/>
        <v>35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498</v>
      </c>
      <c r="AZ13" s="184">
        <f>SUBTOTAL(9,AZ8:AZ12)</f>
        <v>235</v>
      </c>
      <c r="BA13" s="184">
        <f>SUBTOTAL(9,BA8:BA12)</f>
        <v>192</v>
      </c>
      <c r="BB13" s="184">
        <f>SUBTOTAL(9,BB8:BB12)</f>
        <v>541</v>
      </c>
      <c r="BC13" s="184">
        <f>SUBTOTAL(9,BC8:BC12)</f>
        <v>111</v>
      </c>
      <c r="BD13" s="205">
        <f>IF(ISNUMBER(BA13/AZ13),BA13/AZ13," - ")</f>
        <v>0.81702127659574464</v>
      </c>
      <c r="BE13" s="206">
        <f>IF(ISNUMBER(BB13/BA13),BB13/BA13, " - ")</f>
        <v>2.8177083333333335</v>
      </c>
      <c r="BF13" s="206">
        <f>IF(ISNUMBER(BC13/BA13),BC13/BA13, " - ")</f>
        <v>0.578125</v>
      </c>
      <c r="BG13" s="207">
        <f>IF(ISNUMBER((AY13+AZ13)/BA13),(AY13+AZ13)/BA13," - ")</f>
        <v>3.8177083333333335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176</v>
      </c>
      <c r="J16" s="183">
        <v>365</v>
      </c>
      <c r="K16" s="183">
        <v>350</v>
      </c>
      <c r="L16" s="183">
        <v>192</v>
      </c>
      <c r="M16" s="183">
        <v>12</v>
      </c>
      <c r="N16" s="183">
        <v>322</v>
      </c>
      <c r="O16" s="181">
        <v>3</v>
      </c>
      <c r="P16" s="183">
        <v>1</v>
      </c>
      <c r="Q16" s="183">
        <v>3</v>
      </c>
      <c r="R16" s="183">
        <v>17</v>
      </c>
      <c r="S16" s="183">
        <v>220</v>
      </c>
      <c r="T16" s="183">
        <v>470</v>
      </c>
      <c r="U16" s="183">
        <v>400</v>
      </c>
      <c r="V16" s="183">
        <v>290</v>
      </c>
      <c r="W16" s="183">
        <v>25</v>
      </c>
      <c r="X16" s="189">
        <v>351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220</v>
      </c>
      <c r="AZ16" s="127">
        <f t="shared" si="9"/>
        <v>470</v>
      </c>
      <c r="BA16" s="127">
        <f t="shared" si="9"/>
        <v>400</v>
      </c>
      <c r="BB16" s="127">
        <f t="shared" si="9"/>
        <v>290</v>
      </c>
      <c r="BC16" s="125">
        <f>IF(ISNUMBER(W16),W16," - ")</f>
        <v>25</v>
      </c>
      <c r="BD16" s="126">
        <f t="shared" ref="BD16" si="11">IF(ISNUMBER(BA16/AZ16),BA16/AZ16," - ")</f>
        <v>0.85106382978723405</v>
      </c>
      <c r="BE16" s="127">
        <f t="shared" ref="BE16" si="12">IF(ISNUMBER(BB16/BA16),BB16/BA16, " - ")</f>
        <v>0.72499999999999998</v>
      </c>
      <c r="BF16" s="127">
        <f t="shared" ref="BF16" si="13">IF(ISNUMBER(BC16/BA16),BC16/BA16, " - ")</f>
        <v>6.25E-2</v>
      </c>
      <c r="BG16" s="196">
        <f t="shared" si="10"/>
        <v>1.7250000000000001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32</v>
      </c>
      <c r="K17" s="183">
        <v>23</v>
      </c>
      <c r="L17" s="183">
        <v>21</v>
      </c>
      <c r="M17" s="183">
        <v>2</v>
      </c>
      <c r="N17" s="183">
        <v>17</v>
      </c>
      <c r="O17" s="183">
        <v>0</v>
      </c>
      <c r="P17" s="183">
        <v>0</v>
      </c>
      <c r="Q17" s="183">
        <v>0</v>
      </c>
      <c r="R17" s="183">
        <v>0</v>
      </c>
      <c r="S17" s="183">
        <v>12</v>
      </c>
      <c r="T17" s="183">
        <v>28</v>
      </c>
      <c r="U17" s="183">
        <v>32</v>
      </c>
      <c r="V17" s="183">
        <v>8</v>
      </c>
      <c r="W17" s="183">
        <v>7</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v>
      </c>
      <c r="AZ17" s="129">
        <f t="shared" si="14"/>
        <v>28</v>
      </c>
      <c r="BA17" s="129">
        <f t="shared" si="14"/>
        <v>32</v>
      </c>
      <c r="BB17" s="129">
        <f t="shared" si="14"/>
        <v>8</v>
      </c>
      <c r="BC17" s="125">
        <f>IF(ISNUMBER(W17),W17," - ")</f>
        <v>7</v>
      </c>
      <c r="BD17" s="126">
        <f>IF(ISNUMBER(BA17/AZ17),BA17/AZ17," - ")</f>
        <v>1.1428571428571428</v>
      </c>
      <c r="BE17" s="127">
        <f>IF(ISNUMBER(BB17/BA17),BB17/BA17, " - ")</f>
        <v>0.25</v>
      </c>
      <c r="BF17" s="127">
        <f>IF(ISNUMBER(BC17/BA17),BC17/BA17, " - ")</f>
        <v>0.21875</v>
      </c>
      <c r="BG17" s="196">
        <f>IF(ISNUMBER((AY17+AZ17)/BA17),(AY17+AZ17)/BA17," - ")</f>
        <v>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187</v>
      </c>
      <c r="J18" s="184">
        <f t="shared" si="15"/>
        <v>397</v>
      </c>
      <c r="K18" s="184">
        <f t="shared" si="15"/>
        <v>373</v>
      </c>
      <c r="L18" s="184">
        <f t="shared" si="15"/>
        <v>213</v>
      </c>
      <c r="M18" s="184">
        <f t="shared" si="15"/>
        <v>14</v>
      </c>
      <c r="N18" s="184">
        <f t="shared" si="15"/>
        <v>339</v>
      </c>
      <c r="O18" s="184">
        <f t="shared" si="15"/>
        <v>3</v>
      </c>
      <c r="P18" s="184">
        <f t="shared" si="15"/>
        <v>1</v>
      </c>
      <c r="Q18" s="184">
        <f t="shared" si="15"/>
        <v>3</v>
      </c>
      <c r="R18" s="184">
        <f t="shared" si="15"/>
        <v>17</v>
      </c>
      <c r="S18" s="184">
        <f t="shared" si="15"/>
        <v>232</v>
      </c>
      <c r="T18" s="184">
        <f t="shared" si="15"/>
        <v>498</v>
      </c>
      <c r="U18" s="184">
        <f t="shared" si="15"/>
        <v>432</v>
      </c>
      <c r="V18" s="184">
        <f t="shared" si="15"/>
        <v>298</v>
      </c>
      <c r="W18" s="184">
        <f t="shared" si="15"/>
        <v>32</v>
      </c>
      <c r="X18" s="184">
        <f t="shared" si="15"/>
        <v>374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232</v>
      </c>
      <c r="AZ18" s="184">
        <f>SUBTOTAL(9,AZ14:AZ17)</f>
        <v>498</v>
      </c>
      <c r="BA18" s="184">
        <f>SUBTOTAL(9,BA14:BA17)</f>
        <v>432</v>
      </c>
      <c r="BB18" s="184">
        <f>SUBTOTAL(9,BB14:BB17)</f>
        <v>298</v>
      </c>
      <c r="BC18" s="184">
        <f>SUBTOTAL(9,BC14:BC17)</f>
        <v>32</v>
      </c>
      <c r="BD18" s="205">
        <f>IF(ISNUMBER(BA18/AZ18),BA18/AZ18," - ")</f>
        <v>0.86746987951807231</v>
      </c>
      <c r="BE18" s="206">
        <f>IF(ISNUMBER(BB18/BA18),BB18/BA18, " - ")</f>
        <v>0.68981481481481477</v>
      </c>
      <c r="BF18" s="206">
        <f>IF(ISNUMBER(BC18/BA18),BC18/BA18, " - ")</f>
        <v>7.407407407407407E-2</v>
      </c>
      <c r="BG18" s="207">
        <f>IF(ISNUMBER((AY18+AZ18)/BA18),(AY18+AZ18)/BA18," - ")</f>
        <v>1.6898148148148149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804</v>
      </c>
      <c r="J19" s="134">
        <f t="shared" si="18"/>
        <v>676</v>
      </c>
      <c r="K19" s="134">
        <f t="shared" si="18"/>
        <v>518</v>
      </c>
      <c r="L19" s="134">
        <f t="shared" si="18"/>
        <v>964</v>
      </c>
      <c r="M19" s="134">
        <f t="shared" si="18"/>
        <v>40</v>
      </c>
      <c r="N19" s="134">
        <f t="shared" si="18"/>
        <v>414</v>
      </c>
      <c r="O19" s="134">
        <f t="shared" si="18"/>
        <v>79</v>
      </c>
      <c r="P19" s="134">
        <f t="shared" si="18"/>
        <v>59</v>
      </c>
      <c r="Q19" s="134">
        <f t="shared" si="18"/>
        <v>30</v>
      </c>
      <c r="R19" s="134">
        <f t="shared" si="18"/>
        <v>1059</v>
      </c>
      <c r="S19" s="134">
        <f t="shared" si="18"/>
        <v>689</v>
      </c>
      <c r="T19" s="134">
        <f t="shared" si="18"/>
        <v>694</v>
      </c>
      <c r="U19" s="134">
        <f t="shared" si="18"/>
        <v>579</v>
      </c>
      <c r="V19" s="134">
        <f t="shared" si="18"/>
        <v>804</v>
      </c>
      <c r="W19" s="134">
        <f t="shared" si="18"/>
        <v>61</v>
      </c>
      <c r="X19" s="134">
        <f t="shared" si="18"/>
        <v>485</v>
      </c>
      <c r="Y19" s="134">
        <f t="shared" si="18"/>
        <v>38</v>
      </c>
      <c r="Z19" s="134">
        <f t="shared" si="18"/>
        <v>39</v>
      </c>
      <c r="AA19" s="134">
        <f t="shared" si="18"/>
        <v>31</v>
      </c>
      <c r="AB19" s="134">
        <f t="shared" si="18"/>
        <v>46</v>
      </c>
      <c r="AC19" s="134">
        <f t="shared" si="18"/>
        <v>0</v>
      </c>
      <c r="AD19" s="134">
        <f t="shared" si="18"/>
        <v>0</v>
      </c>
      <c r="AE19" s="134">
        <f t="shared" si="18"/>
        <v>0</v>
      </c>
      <c r="AF19" s="134">
        <f t="shared" si="18"/>
        <v>0</v>
      </c>
      <c r="AG19" s="134">
        <f t="shared" si="18"/>
        <v>41</v>
      </c>
      <c r="AH19" s="134">
        <f t="shared" si="18"/>
        <v>39</v>
      </c>
      <c r="AI19" s="134">
        <f t="shared" si="18"/>
        <v>45</v>
      </c>
      <c r="AJ19" s="134">
        <f t="shared" si="18"/>
        <v>35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730</v>
      </c>
      <c r="AZ19" s="134">
        <f>SUBTOTAL(9,AZ9:AZ18)</f>
        <v>733</v>
      </c>
      <c r="BA19" s="134">
        <f>SUBTOTAL(9,BA9:BA18)</f>
        <v>624</v>
      </c>
      <c r="BB19" s="134">
        <f>SUBTOTAL(9,BB9:BB18)</f>
        <v>839</v>
      </c>
      <c r="BC19" s="135">
        <f>SUBTOTAL(9,BC9:BC18)</f>
        <v>143</v>
      </c>
      <c r="BD19" s="213">
        <f>IF(ISNUMBER(BA19/AZ19),BA19/AZ19," - ")</f>
        <v>0.85129604365620737</v>
      </c>
      <c r="BE19" s="210">
        <f>IF(ISNUMBER(BB19/BA19),BB19/BA19, " - ")</f>
        <v>1.3445512820512822</v>
      </c>
      <c r="BF19" s="210">
        <f>IF(ISNUMBER(BC19/BA19),BC19/BA19, " - ")</f>
        <v>0.22916666666666666</v>
      </c>
      <c r="BG19" s="135">
        <f>IF(ISNUMBER((AY19+AZ19)/BA19),(AY19+AZ19)/BA19," - ")</f>
        <v>2.3445512820512819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45OldhJfMeAl3EE6dkQDjMm1sFKsnIh97wmOl/NJsvnZ/r5cRjLgOYiL58RBC1xf9JQrWLqPWFpqzCuPUyfDw==" saltValue="WmBbn0pXZ1m/xiGYXMT4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aroy0ggmo7uA5CwO6crPw+fEC9hVzB2ACYydj8wIf7D4+2B3/sICxHATF9A/9rtLMATziLAYLMirTwKqLLXOA==" saltValue="1vgrAtAdEoy+SAXS28xoE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CABRA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13</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26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39</v>
      </c>
      <c r="O12" s="334"/>
      <c r="P12" s="334"/>
      <c r="Q12" s="226">
        <f>IF(ISNUMBER(Datos!P12),Datos!P12,0)</f>
        <v>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46</v>
      </c>
      <c r="AI12" s="334" t="str">
        <f>IF(ISNUMBER(Datos!CD12),Datos!CD12,"-")</f>
        <v>-</v>
      </c>
      <c r="AJ12" s="334" t="str">
        <f>IF(ISNUMBER(Datos!EN12),Datos!EN12," - ")</f>
        <v xml:space="preserve"> - </v>
      </c>
      <c r="AK12" s="334"/>
      <c r="AL12" s="479"/>
      <c r="AM12" s="335">
        <f>IF(ISNUMBER(Datos!R12),Datos!R12," - ")</f>
        <v>1040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v>
      </c>
      <c r="BD12" s="229">
        <f>IF(ISNUMBER(Datos!N12),Datos!N12," - ")</f>
        <v>74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0.55031446540880502</v>
      </c>
      <c r="BH12" s="260">
        <f>IF(ISNUMBER(((IF(J_V="SI",Datos!L12/Datos!K12,(Datos!L12+Datos!AB12)/(Datos!K12+Datos!AA12)))*11)/factor_trimestre),((IF(J_V="SI",Datos!L12/Datos!K12,(Datos!L12+Datos!AB12)/(Datos!K12+Datos!AA12)))*11)/factor_trimestre," - ")</f>
        <v>8.9600000000000009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2.9702970297029702E-2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39</v>
      </c>
      <c r="O13" s="900">
        <f t="shared" si="0"/>
        <v>0</v>
      </c>
      <c r="P13" s="900">
        <f t="shared" si="0"/>
        <v>0</v>
      </c>
      <c r="Q13" s="899">
        <f t="shared" si="0"/>
        <v>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27</v>
      </c>
      <c r="AD13" s="899">
        <f t="shared" si="1"/>
        <v>0</v>
      </c>
      <c r="AE13" s="899">
        <f t="shared" si="1"/>
        <v>0</v>
      </c>
      <c r="AF13" s="899">
        <f t="shared" si="1"/>
        <v>13</v>
      </c>
      <c r="AG13" s="899">
        <f t="shared" si="1"/>
        <v>0</v>
      </c>
      <c r="AH13" s="899">
        <f t="shared" si="1"/>
        <v>46</v>
      </c>
      <c r="AI13" s="899">
        <f t="shared" si="1"/>
        <v>0</v>
      </c>
      <c r="AJ13" s="899">
        <f t="shared" si="1"/>
        <v>0</v>
      </c>
      <c r="AK13" s="899">
        <f t="shared" si="1"/>
        <v>0</v>
      </c>
      <c r="AL13" s="899">
        <f t="shared" si="1"/>
        <v>0</v>
      </c>
      <c r="AM13" s="899">
        <f t="shared" si="1"/>
        <v>1042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v>
      </c>
      <c r="BD13" s="899">
        <f t="shared" si="1"/>
        <v>75</v>
      </c>
      <c r="BE13" s="899">
        <f t="shared" si="1"/>
        <v>0</v>
      </c>
      <c r="BF13" s="899">
        <f t="shared" si="1"/>
        <v>0</v>
      </c>
      <c r="BG13" s="899">
        <f>IF(ISNUMBER(Datos!K13/Datos!J13),Datos!K13/Datos!J13," - ")</f>
        <v>0.51971326164874554</v>
      </c>
      <c r="BH13" s="903">
        <f>IF(ISNUMBER(((Datos!L13/Datos!K13)*11)/factor_trimestre),((Datos!L13/Datos!K13)*11)/factor_trimestre," - ")</f>
        <v>10.358620689655172</v>
      </c>
      <c r="BI13" s="899">
        <f>IF(ISNUMBER('Resol  Asuntos'!D13/NºAsuntos!G13),'Resol  Asuntos'!D13/NºAsuntos!G13," - ")</f>
        <v>0.14772727272727273</v>
      </c>
      <c r="BJ13" s="899" t="str">
        <f>IF(ISNUMBER(Datos!CI13/Datos!CJ13),Datos!CI13/Datos!CJ13," - ")</f>
        <v xml:space="preserve"> - </v>
      </c>
      <c r="BK13" s="899">
        <f>SUBTOTAL(9,BK8:BK12)</f>
        <v>0</v>
      </c>
      <c r="BL13" s="899">
        <f>IF(ISNUMBER((I13-AB13+L13)/(F13)),(I13-AB13+L13)/(F13)," - ")</f>
        <v>-7.1428571428571425E-2</v>
      </c>
      <c r="BM13" s="904">
        <f>SUBTOTAL(9,BM9:BM12)</f>
        <v>1.0297029702970297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177</v>
      </c>
      <c r="G16" s="598">
        <f>IF(ISNUMBER(IF(D_I="SI",Datos!I16,Datos!I16+Datos!AC16)),IF(D_I="SI",Datos!I16,Datos!I16+Datos!AC16)," - ")</f>
        <v>176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350</v>
      </c>
      <c r="AC16" s="226">
        <f>IF(ISNUMBER(Datos!Q16),Datos!Q16," - ")</f>
        <v>3</v>
      </c>
      <c r="AD16" s="334"/>
      <c r="AE16" s="484"/>
      <c r="AF16" s="596">
        <f>IF(ISNUMBER(IF(D_I="SI",Datos!L16,Datos!L16+Datos!AF16)),IF(D_I="SI",Datos!L16,Datos!L16+Datos!AF16)," - ")</f>
        <v>192</v>
      </c>
      <c r="AG16" s="334"/>
      <c r="AH16" s="334"/>
      <c r="AI16" s="334"/>
      <c r="AJ16" s="334"/>
      <c r="AK16" s="334"/>
      <c r="AL16" s="479"/>
      <c r="AM16" s="335">
        <f>IF(ISNUMBER(Datos!R16),Datos!R16," - ")</f>
        <v>17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322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0.95890410958904104</v>
      </c>
      <c r="BH16" s="260">
        <f>IF(ISNUMBER(((IF(D_I="SI",Datos!L16/Datos!K16,(Datos!L16+Datos!AF16)/(Datos!K16+Datos!AE16)))*11)/factor_trimestre),((IF(D_I="SI",Datos!L16/Datos!K16,(Datos!L16+Datos!AF16)/(Datos!K16+Datos!AE16)))*11)/factor_trimestre," - ")</f>
        <v>1.0971428571428572</v>
      </c>
      <c r="BI16" s="243">
        <f>IF(ISNUMBER('Resol  Asuntos'!D16/NºAsuntos!G16),'Resol  Asuntos'!D16/NºAsuntos!G16," - ")</f>
        <v>3.4285714285714287E-2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21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0.71875</v>
      </c>
      <c r="BH17" s="260">
        <f>IF(ISNUMBER(((IF(D_I="SI",Datos!L17/Datos!K17,(Datos!L17+Datos!AF17)/(Datos!K17+Datos!AE17)))*11)/factor_trimestre),((IF(D_I="SI",Datos!L17/Datos!K17,(Datos!L17+Datos!AF17)/(Datos!K17+Datos!AE17)))*11)/factor_trimestre," - ")</f>
        <v>1.826086956521739</v>
      </c>
      <c r="BI17" s="243">
        <f>IF(ISNUMBER('Resol  Asuntos'!D17/NºAsuntos!G17),'Resol  Asuntos'!D17/NºAsuntos!G17," - ")</f>
        <v>8.6956521739130432E-2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177</v>
      </c>
      <c r="G18" s="898">
        <f>SUBTOTAL(9,G15:G17)</f>
        <v>187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373</v>
      </c>
      <c r="AC18" s="899">
        <f t="shared" si="4"/>
        <v>3</v>
      </c>
      <c r="AD18" s="899">
        <f t="shared" si="4"/>
        <v>0</v>
      </c>
      <c r="AE18" s="899">
        <f t="shared" si="4"/>
        <v>0</v>
      </c>
      <c r="AF18" s="899">
        <f t="shared" si="4"/>
        <v>213</v>
      </c>
      <c r="AG18" s="899">
        <f t="shared" si="4"/>
        <v>0</v>
      </c>
      <c r="AH18" s="899">
        <f t="shared" si="4"/>
        <v>0</v>
      </c>
      <c r="AI18" s="899">
        <f t="shared" si="4"/>
        <v>0</v>
      </c>
      <c r="AJ18" s="899">
        <f t="shared" si="4"/>
        <v>0</v>
      </c>
      <c r="AK18" s="899">
        <f t="shared" si="4"/>
        <v>0</v>
      </c>
      <c r="AL18" s="899">
        <f t="shared" si="4"/>
        <v>0</v>
      </c>
      <c r="AM18" s="899">
        <f t="shared" si="4"/>
        <v>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339</v>
      </c>
      <c r="BE18" s="899">
        <f t="shared" si="4"/>
        <v>0</v>
      </c>
      <c r="BF18" s="899">
        <f t="shared" si="4"/>
        <v>0</v>
      </c>
      <c r="BG18" s="899">
        <f>IF(ISNUMBER(Datos!K18/Datos!J18),Datos!K18/Datos!J18," - ")</f>
        <v>0.93954659949622166</v>
      </c>
      <c r="BH18" s="903">
        <f>IF(ISNUMBER(((Datos!L18/Datos!K18)*11)/factor_trimestre),((Datos!L18/Datos!K18)*11)/factor_trimestre," - ")</f>
        <v>1.1420911528150135</v>
      </c>
      <c r="BI18" s="899">
        <f>SUBTOTAL(9,BI15:BI17)</f>
        <v>0.12124223602484471</v>
      </c>
      <c r="BJ18" s="899">
        <f>SUBTOTAL(9,BJ15:BJ17)</f>
        <v>0</v>
      </c>
      <c r="BK18" s="899">
        <f>SUBTOTAL(9,BK15:BK17)</f>
        <v>0</v>
      </c>
      <c r="BL18" s="899">
        <f>IF(ISNUMBER((I18-AB18+L18)/(F18)),(I18-AB18+L18)/(F18)," - ")</f>
        <v>-2.1073446327683616</v>
      </c>
      <c r="BM18" s="905">
        <f>IF(ISNUMBER((Datos!P18-Datos!Q18)/(Datos!R18-Datos!P18+Datos!Q18)),(Datos!P18-Datos!Q18)/(Datos!R18-Datos!P18+Datos!Q18)," - ")</f>
        <v>-0.10526315789473684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191</v>
      </c>
      <c r="G19" s="820">
        <f t="shared" si="6"/>
        <v>201</v>
      </c>
      <c r="H19" s="822">
        <f t="shared" si="6"/>
        <v>0</v>
      </c>
      <c r="I19" s="820">
        <f t="shared" si="6"/>
        <v>0</v>
      </c>
      <c r="J19" s="822">
        <f t="shared" si="6"/>
        <v>0</v>
      </c>
      <c r="K19" s="822">
        <f t="shared" si="6"/>
        <v>0</v>
      </c>
      <c r="L19" s="881">
        <f t="shared" si="6"/>
        <v>0</v>
      </c>
      <c r="M19" s="881">
        <f t="shared" si="6"/>
        <v>0</v>
      </c>
      <c r="N19" s="881">
        <f t="shared" si="6"/>
        <v>39</v>
      </c>
      <c r="O19" s="881">
        <f t="shared" si="6"/>
        <v>0</v>
      </c>
      <c r="P19" s="881">
        <f t="shared" si="6"/>
        <v>0</v>
      </c>
      <c r="Q19" s="822">
        <f t="shared" si="6"/>
        <v>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374</v>
      </c>
      <c r="AC19" s="821">
        <f t="shared" si="7"/>
        <v>30</v>
      </c>
      <c r="AD19" s="821">
        <f t="shared" si="7"/>
        <v>0</v>
      </c>
      <c r="AE19" s="821">
        <f t="shared" si="7"/>
        <v>0</v>
      </c>
      <c r="AF19" s="828">
        <f t="shared" si="7"/>
        <v>226</v>
      </c>
      <c r="AG19" s="828">
        <f t="shared" si="7"/>
        <v>0</v>
      </c>
      <c r="AH19" s="828">
        <f t="shared" si="7"/>
        <v>46</v>
      </c>
      <c r="AI19" s="828">
        <f t="shared" si="7"/>
        <v>0</v>
      </c>
      <c r="AJ19" s="821">
        <f t="shared" si="7"/>
        <v>0</v>
      </c>
      <c r="AK19" s="828">
        <f t="shared" si="7"/>
        <v>0</v>
      </c>
      <c r="AL19" s="828">
        <f t="shared" si="7"/>
        <v>0</v>
      </c>
      <c r="AM19" s="828">
        <f t="shared" si="7"/>
        <v>1059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v>
      </c>
      <c r="BD19" s="820">
        <f t="shared" si="7"/>
        <v>414</v>
      </c>
      <c r="BE19" s="820">
        <f t="shared" si="7"/>
        <v>0</v>
      </c>
      <c r="BF19" s="830">
        <f t="shared" si="7"/>
        <v>0</v>
      </c>
      <c r="BG19" s="915">
        <f>IF(ISNUMBER(Datos!K19/Datos!J19),Datos!K19/Datos!J19," - ")</f>
        <v>0.76627218934911245</v>
      </c>
      <c r="BH19" s="915">
        <f>IF(ISNUMBER(((Datos!L19/Datos!K19)*11)/factor_trimestre),((Datos!L19/Datos!K19)*11)/factor_trimestre," - ")</f>
        <v>3.7220077220077226</v>
      </c>
      <c r="BI19" s="813">
        <f>IF(ISNUMBER(Datos!J19/Datos!I19),Datos!J19/Datos!I19," - ")</f>
        <v>0.84079601990049746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-1.9581151832460733</v>
      </c>
      <c r="BM19" s="889">
        <f>IF(ISNUMBER((Datos!P19-Datos!Q19+R19)/(Datos!R19-Datos!P19+Datos!Q19-R19)),(Datos!P19-Datos!Q19+R19)/(Datos!R19-Datos!P19+Datos!Q19-R19)," - ")</f>
        <v>2.8155339805825241E-2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80.400000000000006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94.108093877908999</v>
      </c>
      <c r="G21" s="552">
        <f>IF(ISNUMBER(STDEV(G8:G18)),STDEV(G8:G18),"-")</f>
        <v>92.381275158984465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193.81640797414445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11.219031449580068</v>
      </c>
      <c r="BD21" s="551"/>
      <c r="BE21" s="551">
        <f>IF(ISNUMBER(STDEV(BE8:BE18)),STDEV(BE8:BE18),"-")</f>
        <v>0</v>
      </c>
      <c r="BF21" s="556">
        <f>IF(ISNUMBER(STDEV(BF8:BF18)),STDEV(BF8:BF18),"-")</f>
        <v>0</v>
      </c>
      <c r="BG21" s="775">
        <f>IF(ISNUMBER(STDEV(BG8:BG18)),STDEV(BG8:BG18),"-")</f>
        <v>0.20776407510887568</v>
      </c>
      <c r="BH21" s="776">
        <f>IF(ISNUMBER(STDEV(BH8:BH18)),STDEV(BH8:BH18),"-")</f>
        <v>9.6225051682587122</v>
      </c>
      <c r="BI21" s="249">
        <f>IF(ISNUMBER(STDEV(BI8:BI18)),STDEV(BI8:BI18),"-")</f>
        <v>4.8968262988461554E-2</v>
      </c>
      <c r="BJ21" s="230" t="str">
        <f>IF(ISNUMBER(BL21/BM21),BL21/BM21," - ")</f>
        <v xml:space="preserve"> - </v>
      </c>
      <c r="BK21" s="575"/>
      <c r="BL21" s="559">
        <f>IF(ISNUMBER(STDEV(BL8:BL18)),STDEV(BL8:BL18),"-")</f>
        <v>1.4396100528999725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TH1e1+G/MXkZ7TKMG4XFkzh8Yfnw/im+/EzIpqErxgtmPTD6/KMLsMMCPWTpKSR0NRMw1Wjn4J5nDfvBQu46JA==" saltValue="VGw/8IAy0dWM1tKlYCfG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CABRA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13</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v>
      </c>
      <c r="AA12" s="332" t="str">
        <f>IF(ISNUMBER(IF(J_V="SI",Datos!L12,Datos!L12+Datos!AB12)-IF(Monitorios="SI",Datos!CD12,0)),
                          IF(J_V="SI",Datos!L12,Datos!L12+Datos!AB12)-IF(Monitorios="SI",Datos!CD12,0),
                          " - ")</f>
        <v xml:space="preserve"> - </v>
      </c>
      <c r="AB12" s="334"/>
      <c r="AC12" s="334"/>
      <c r="AD12" s="484"/>
      <c r="AE12" s="484">
        <f>IF(ISNUMBER(Datos!R12),Datos!R12," - ")</f>
        <v>1040</v>
      </c>
      <c r="AF12" s="229" t="str">
        <f>IF(ISNUMBER(Datos!BV12),Datos!BV12," - ")</f>
        <v xml:space="preserve"> - </v>
      </c>
      <c r="AG12" s="225" t="str">
        <f>IF(ISNUMBER(Datos!DV12),Datos!DV12," - ")</f>
        <v xml:space="preserve"> - </v>
      </c>
      <c r="AH12" s="298"/>
      <c r="AI12" s="227"/>
      <c r="AJ12" s="225">
        <f>IF(ISNUMBER(Datos!M12),Datos!M12," - ")</f>
        <v>26</v>
      </c>
      <c r="AK12" s="229">
        <f>IF(ISNUMBER(Datos!N12),Datos!N12," - ")</f>
        <v>74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8.9600000000000009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2.9702970297029702E-2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27</v>
      </c>
      <c r="AA13" s="900">
        <f t="shared" si="2"/>
        <v>13</v>
      </c>
      <c r="AB13" s="900">
        <f t="shared" si="2"/>
        <v>0</v>
      </c>
      <c r="AC13" s="900">
        <f t="shared" si="2"/>
        <v>0</v>
      </c>
      <c r="AD13" s="900">
        <f t="shared" si="2"/>
        <v>0</v>
      </c>
      <c r="AE13" s="900">
        <f t="shared" si="2"/>
        <v>1042</v>
      </c>
      <c r="AF13" s="908">
        <f t="shared" si="2"/>
        <v>0</v>
      </c>
      <c r="AG13" s="908">
        <f t="shared" si="2"/>
        <v>0</v>
      </c>
      <c r="AH13" s="908">
        <f t="shared" si="2"/>
        <v>0</v>
      </c>
      <c r="AI13" s="908">
        <f t="shared" si="2"/>
        <v>0</v>
      </c>
      <c r="AJ13" s="908">
        <f t="shared" si="2"/>
        <v>26</v>
      </c>
      <c r="AK13" s="908">
        <f t="shared" si="2"/>
        <v>75</v>
      </c>
      <c r="AL13" s="908">
        <f t="shared" si="2"/>
        <v>0</v>
      </c>
      <c r="AM13" s="908">
        <f t="shared" si="2"/>
        <v>0</v>
      </c>
      <c r="AN13" s="908">
        <f t="shared" si="2"/>
        <v>0</v>
      </c>
      <c r="AO13" s="904">
        <f>IF(ISNUMBER(((NºAsuntos!I13/NºAsuntos!G13)*11)/factor_trimestre),((NºAsuntos!I13/NºAsuntos!G13)*11)/factor_trimestre," - ")</f>
        <v>9.0568181818181817</v>
      </c>
      <c r="AP13" s="910" t="str">
        <f>IF(ISNUMBER(Datos!CI13/Datos!CJ13),Datos!CI13/Datos!CJ13," - ")</f>
        <v xml:space="preserve"> - </v>
      </c>
      <c r="AQ13" s="928">
        <f t="shared" ref="AQ13:AV13" si="3">SUBTOTAL(9,AQ9:AQ12)</f>
        <v>0</v>
      </c>
      <c r="AR13" s="928">
        <f t="shared" si="3"/>
        <v>1.0297029702970297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177</v>
      </c>
      <c r="G16" s="225">
        <f>IF(ISNUMBER(IF(D_I="SI",Datos!I16,Datos!I16+Datos!AC16)),IF(D_I="SI",Datos!I16,Datos!I16+Datos!AC16)," - ")</f>
        <v>176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350</v>
      </c>
      <c r="Z16" s="619">
        <f>IF(ISNUMBER(Datos!Q16),Datos!Q16," - ")</f>
        <v>3</v>
      </c>
      <c r="AA16" s="332">
        <f>IF(ISNUMBER(IF(D_I="SI",Datos!L16,Datos!L16+Datos!AF16)),IF(D_I="SI",Datos!L16,Datos!L16+Datos!AF16)," - ")</f>
        <v>192</v>
      </c>
      <c r="AB16" s="334"/>
      <c r="AC16" s="334"/>
      <c r="AD16" s="484"/>
      <c r="AE16" s="484">
        <f>IF(ISNUMBER(Datos!R16),Datos!R16," - ")</f>
        <v>17</v>
      </c>
      <c r="AF16" s="229" t="str">
        <f>IF(ISNUMBER(Datos!BV16),Datos!BV16," - ")</f>
        <v xml:space="preserve"> - </v>
      </c>
      <c r="AG16" s="225"/>
      <c r="AH16" s="298"/>
      <c r="AI16" s="227"/>
      <c r="AJ16" s="225">
        <f>IF(ISNUMBER(Datos!M16),Datos!M16," - ")</f>
        <v>12</v>
      </c>
      <c r="AK16" s="229">
        <f>IF(ISNUMBER(Datos!N16),Datos!N16," - ")</f>
        <v>322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1.0971428571428572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21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1.826086956521739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177</v>
      </c>
      <c r="G18" s="898">
        <f>SUBTOTAL(9,G15:G17)</f>
        <v>187</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373</v>
      </c>
      <c r="Z18" s="932">
        <f t="shared" si="5"/>
        <v>3</v>
      </c>
      <c r="AA18" s="932">
        <f t="shared" si="5"/>
        <v>213</v>
      </c>
      <c r="AB18" s="932">
        <f t="shared" si="5"/>
        <v>0</v>
      </c>
      <c r="AC18" s="932">
        <f t="shared" si="5"/>
        <v>0</v>
      </c>
      <c r="AD18" s="932">
        <f t="shared" si="5"/>
        <v>0</v>
      </c>
      <c r="AE18" s="932">
        <f t="shared" si="5"/>
        <v>17</v>
      </c>
      <c r="AF18" s="932">
        <f t="shared" si="5"/>
        <v>0</v>
      </c>
      <c r="AG18" s="932">
        <f t="shared" si="5"/>
        <v>0</v>
      </c>
      <c r="AH18" s="932">
        <f t="shared" si="5"/>
        <v>0</v>
      </c>
      <c r="AI18" s="932">
        <f t="shared" si="5"/>
        <v>0</v>
      </c>
      <c r="AJ18" s="932">
        <f t="shared" si="5"/>
        <v>14</v>
      </c>
      <c r="AK18" s="932">
        <f t="shared" si="5"/>
        <v>339</v>
      </c>
      <c r="AL18" s="932">
        <f t="shared" si="5"/>
        <v>0</v>
      </c>
      <c r="AM18" s="932">
        <f t="shared" si="5"/>
        <v>0</v>
      </c>
      <c r="AN18" s="932">
        <f t="shared" si="5"/>
        <v>0</v>
      </c>
      <c r="AO18" s="934">
        <f>IF(ISNUMBER(((NºAsuntos!I18/NºAsuntos!G18)*11)/factor_trimestre),((NºAsuntos!I18/NºAsuntos!G18)*11)/factor_trimestre," - ")</f>
        <v>1.1420911528150135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191</v>
      </c>
      <c r="G19" s="820">
        <f t="shared" si="7"/>
        <v>201</v>
      </c>
      <c r="H19" s="821">
        <f t="shared" si="7"/>
        <v>0</v>
      </c>
      <c r="I19" s="820">
        <f t="shared" si="7"/>
        <v>0</v>
      </c>
      <c r="J19" s="822">
        <f t="shared" si="7"/>
        <v>0</v>
      </c>
      <c r="K19" s="820">
        <f t="shared" si="7"/>
        <v>0</v>
      </c>
      <c r="L19" s="823">
        <f t="shared" si="7"/>
        <v>0</v>
      </c>
      <c r="M19" s="820">
        <f t="shared" si="7"/>
        <v>0</v>
      </c>
      <c r="N19" s="821">
        <f t="shared" si="7"/>
        <v>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374</v>
      </c>
      <c r="Z19" s="827">
        <f t="shared" si="8"/>
        <v>30</v>
      </c>
      <c r="AA19" s="828">
        <f t="shared" si="8"/>
        <v>226</v>
      </c>
      <c r="AB19" s="828">
        <f t="shared" si="8"/>
        <v>0</v>
      </c>
      <c r="AC19" s="828">
        <f t="shared" si="8"/>
        <v>0</v>
      </c>
      <c r="AD19" s="829">
        <f t="shared" si="8"/>
        <v>0</v>
      </c>
      <c r="AE19" s="829">
        <f t="shared" si="8"/>
        <v>1059</v>
      </c>
      <c r="AF19" s="830">
        <f t="shared" si="8"/>
        <v>0</v>
      </c>
      <c r="AG19" s="831">
        <f t="shared" si="8"/>
        <v>0</v>
      </c>
      <c r="AH19" s="832">
        <f t="shared" si="8"/>
        <v>0</v>
      </c>
      <c r="AI19" s="830">
        <f t="shared" si="8"/>
        <v>0</v>
      </c>
      <c r="AJ19" s="820">
        <f t="shared" si="8"/>
        <v>40</v>
      </c>
      <c r="AK19" s="820">
        <f t="shared" si="8"/>
        <v>414</v>
      </c>
      <c r="AL19" s="820">
        <f t="shared" si="8"/>
        <v>0</v>
      </c>
      <c r="AM19" s="833">
        <f t="shared" si="8"/>
        <v>0</v>
      </c>
      <c r="AN19" s="823">
        <f>IF(ISNUMBER(Datos!K19/Datos!J19),Datos!K19/Datos!J19," - ")</f>
        <v>0.76627218934911245</v>
      </c>
      <c r="AO19" s="823">
        <f>IF(ISNUMBER(FIND("06",Criterios!A8,1)),(IF(ISNUMBER(((Datos!R19/Datos!Q19)*11)/factor_trimestre),((Datos!R19/Datos!Q19)*11)/factor_trimestre," - ")),(IF(ISNUMBER(((Datos!L19/Datos!K19)*11)/factor_trimestre),((Datos!L19/Datos!K19)*11)/factor_trimestre," - ")))</f>
        <v>3.7220077220077226</v>
      </c>
      <c r="AP19" s="834" t="str">
        <f>IF(ISNUMBER(Datos!CI19/Datos!CJ19),Datos!CI19/Datos!CJ19," - ")</f>
        <v xml:space="preserve"> - </v>
      </c>
      <c r="AQ19" s="834">
        <f>IF(OR(ISNUMBER(FIND("01",Criterios!A8,1)),ISNUMBER(FIND("02",Criterios!A8,1)),ISNUMBER(FIND("03",Criterios!A8,1)),ISNUMBER(FIND("04",Criterios!A8,1))),(J19-Y19+K19)/(F19-K19),(I19-Y19+K19)/(F19-K19))</f>
        <v>-1.9581151832460733</v>
      </c>
      <c r="AR19" s="834">
        <f>IF(ISNUMBER((Datos!P19-Datos!Q19+O19)/(Datos!R19-Datos!P19+Datos!Q19-O19)),(Datos!P19-Datos!Q19+O19)/(Datos!R19-Datos!P19+Datos!Q19-O19)," - ")</f>
        <v>2.8155339805825241E-2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80.400000000000006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94.108093877908999</v>
      </c>
      <c r="G21" s="552">
        <f>IF(ISNUMBER(STDEV(G8:G18)),STDEV(G8:G18),"-")</f>
        <v>92.381275158984465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11.219031449580068</v>
      </c>
      <c r="AK21" s="252"/>
      <c r="AL21" s="252">
        <f>IF(ISNUMBER(STDEV(AL8:AL18)),STDEV(AL8:AL18),"-")</f>
        <v>0</v>
      </c>
      <c r="AM21" s="254">
        <f>IF(ISNUMBER(STDEV(AM8:AM18)),STDEV(AM8:AM18),"-")</f>
        <v>0</v>
      </c>
      <c r="AN21" s="539">
        <f>IF(ISNUMBER(STDEV(AN8:AN18)),STDEV(AN8:AN18),"-")</f>
        <v>0</v>
      </c>
      <c r="AO21" s="540">
        <f>IF(ISNUMBER(STDEV(AO8:AO18)),STDEV(AO8:AO18),"-")</f>
        <v>9.5795082645777168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4aHSts+5uIy1G6ZVXhzJAMhp5CaBgG/6IiXoVsCivxL7Po5BCcuiIAtaALCe7CYe3JQPQLUDI/BBQeoa7BiVPQ==" saltValue="PM3v6ZATCYazKxZJWTnI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4tgznrxO5rjeJeQB5Rusd9tnsSi4bKuGePPZ8s5mJdRcs2iB6cV3rNQJLXOlDZoczRv/UBBr2Cg9zbWBoXW8g==" saltValue="0KlzKUrjZqR3RRg9FE7T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0MGTHBJcRA1N3UK8E4x1z+JoH2qzCATAv38NHsEEYwNIrBtZwFe6+pzjG2o4UX/gu7otDvWzAA1sKEtBo4Y8Q==" saltValue="Hr1Mc+gLmxRbm40KgObD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CABRA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0.14772727272727273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0.10445895631164907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Y47IVugG9nnCCZllmlw9OphBoV0vyCrDP9S70aGteZknFz8LW5Ds2tjhrX+cZrbO5Xtbypk22+7tb87J3dCKAw==" saltValue="en5hbfpqHVEc12g/CS49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PGTaRpH/FcnhgbRlZSpIsg0eIbmkSD5t0QEqNHv3HhLSoV+Uil+LcpWi0ehhm6mBUWsY+RW02P4eF4D69eueQ==" saltValue="E6Qkeq+R1RdIbJWQi3DS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CABRA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0</v>
      </c>
      <c r="F10" s="404">
        <f>IF(ISNUMBER(E10/B10),E10/B10," - ")</f>
        <v>0</v>
      </c>
      <c r="G10" s="403">
        <f>IF(ISNUMBER(Datos!K10),Datos!K10," - ")</f>
        <v>1</v>
      </c>
      <c r="H10" s="404">
        <f>IF(ISNUMBER(G10/B10),G10/B10," - ")</f>
        <v>1</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641</v>
      </c>
      <c r="D12" s="404">
        <f>IF(ISNUMBER(C12/Datos!BH12),C12/Datos!BH12," - ")</f>
        <v>320.5</v>
      </c>
      <c r="E12" s="403">
        <f>IF(ISNUMBER(IF(J_V="SI",Datos!J12,Datos!J12+Datos!Z12)),IF(J_V="SI",Datos!J12,Datos!J12+Datos!Z12)," - ")</f>
        <v>318</v>
      </c>
      <c r="F12" s="404">
        <f>IF(ISNUMBER(E12/B12),E12/B12," - ")</f>
        <v>159</v>
      </c>
      <c r="G12" s="403">
        <f>IF(ISNUMBER(IF(J_V="SI",Datos!K12,Datos!K12+Datos!AA12)),IF(J_V="SI",Datos!K12,Datos!K12+Datos!AA12)," - ")</f>
        <v>175</v>
      </c>
      <c r="H12" s="404">
        <f>IF(ISNUMBER(G12/B12),G12/B12," - ")</f>
        <v>87.5</v>
      </c>
      <c r="I12" s="403">
        <f>IF(ISNUMBER(IF(J_V="SI",Datos!L12,Datos!L12+Datos!AB12)),IF(J_V="SI",Datos!L12,Datos!L12+Datos!AB12)," - ")</f>
        <v>784</v>
      </c>
      <c r="J12" s="404">
        <f>IF(ISNUMBER(I12/B12),I12/B12," - ")</f>
        <v>392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655</v>
      </c>
      <c r="D13" s="850" t="str">
        <f>IF(ISNUMBER(C13/Datos!BI13),C13/Datos!BI13," - ")</f>
        <v xml:space="preserve"> - </v>
      </c>
      <c r="E13" s="849">
        <f>SUBTOTAL(9,E8:E12)</f>
        <v>318</v>
      </c>
      <c r="F13" s="850">
        <f>IF(ISNUMBER(E13/B13),E13/B13," - ")</f>
        <v>159</v>
      </c>
      <c r="G13" s="849">
        <f>SUBTOTAL(9,G8:G12)</f>
        <v>176</v>
      </c>
      <c r="H13" s="850">
        <f>IF(ISNUMBER(G13/B13),G13/B13," - ")</f>
        <v>88</v>
      </c>
      <c r="I13" s="849">
        <f>SUBTOTAL(9,I8:I12)</f>
        <v>797</v>
      </c>
      <c r="J13" s="850">
        <f>IF(ISNUMBER(I13/B13),I13/B13," - ")</f>
        <v>398.5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176</v>
      </c>
      <c r="D16" s="404">
        <f>IF(ISNUMBER(C16/Datos!BH16),C16/Datos!BH16," - ")</f>
        <v>88</v>
      </c>
      <c r="E16" s="403">
        <f>IF(ISNUMBER(IF(D_I="SI",Datos!J16,Datos!J16+Datos!AD16)),IF(D_I="SI",Datos!J16,Datos!J16+Datos!AD16)," - ")</f>
        <v>365</v>
      </c>
      <c r="F16" s="404">
        <f>IF(ISNUMBER(E16/B16),E16/B16," - ")</f>
        <v>182.5</v>
      </c>
      <c r="G16" s="403">
        <f>IF(ISNUMBER(IF(D_I="SI",Datos!K16,Datos!K16+Datos!AE16)),IF(D_I="SI",Datos!K16,Datos!K16+Datos!AE16)," - ")</f>
        <v>350</v>
      </c>
      <c r="H16" s="404">
        <f>IF(ISNUMBER(G16/B16),G16/B16," - ")</f>
        <v>175</v>
      </c>
      <c r="I16" s="403">
        <f>IF(ISNUMBER(IF(D_I="SI",Datos!L16,Datos!L16+Datos!AF16)),IF(D_I="SI",Datos!L16,Datos!L16+Datos!AF16)," - ")</f>
        <v>192</v>
      </c>
      <c r="J16" s="404">
        <f>IF(ISNUMBER(I16/B16),I16/B16," - ")</f>
        <v>96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32</v>
      </c>
      <c r="F17" s="404">
        <f>IF(ISNUMBER(E17/B17),E17/B17," - ")</f>
        <v>32</v>
      </c>
      <c r="G17" s="403">
        <f>IF(ISNUMBER(IF(D_I="SI",Datos!K17,Datos!K17+Datos!AE17)),IF(D_I="SI",Datos!K17,Datos!K17+Datos!AE17)," - ")</f>
        <v>23</v>
      </c>
      <c r="H17" s="404">
        <f>IF(ISNUMBER(G17/B17),G17/B17," - ")</f>
        <v>23</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187</v>
      </c>
      <c r="D18" s="850" t="str">
        <f>IF(ISNUMBER(C18/Datos!BI18),C18/Datos!BI18," - ")</f>
        <v xml:space="preserve"> - </v>
      </c>
      <c r="E18" s="849">
        <f>SUBTOTAL(9,E14:E17)</f>
        <v>397</v>
      </c>
      <c r="F18" s="850">
        <f>IF(ISNUMBER(E18/B18),E18/B18," - ")</f>
        <v>198.5</v>
      </c>
      <c r="G18" s="849">
        <f>SUBTOTAL(9,G14:G17)</f>
        <v>373</v>
      </c>
      <c r="H18" s="850">
        <f>IF(ISNUMBER(G18/B18),G18/B18," - ")</f>
        <v>186.5</v>
      </c>
      <c r="I18" s="849">
        <f>SUBTOTAL(9,I14:I17)</f>
        <v>213</v>
      </c>
      <c r="J18" s="850">
        <f>IF(ISNUMBER(I18/B18),I18/B18," - ")</f>
        <v>106.5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842</v>
      </c>
      <c r="D19" s="795" t="str">
        <f>IF(ISNUMBER(C19/Datos!BI19),C19/Datos!BI19," - ")</f>
        <v xml:space="preserve"> - </v>
      </c>
      <c r="E19" s="794">
        <f>SUBTOTAL(9,E9:E18)</f>
        <v>715</v>
      </c>
      <c r="F19" s="795">
        <f>IF(ISNUMBER(E19/B19),E19/B19," - ")</f>
        <v>357.5</v>
      </c>
      <c r="G19" s="794">
        <f>SUBTOTAL(9,G9:G18)</f>
        <v>549</v>
      </c>
      <c r="H19" s="795">
        <f>IF(ISNUMBER(G19/B19),G19/B19," - ")</f>
        <v>274.5</v>
      </c>
      <c r="I19" s="794">
        <f>SUBTOTAL(9,I9:I18)</f>
        <v>1010</v>
      </c>
      <c r="J19" s="795">
        <f>IF(ISNUMBER(I19/B19),I19/B19," - ")</f>
        <v>505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y2AHJDR7kg3FJuaVF+DwAYXnE3LhZwLO8vVX0h4OLKb8WM8PeXZrUA69n3YGjGD6nU5UF9rXCEnlj+nikRsOMA==" saltValue="JsOHQfbYbXYoupozTQEb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CABRA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1040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v>
      </c>
      <c r="AM12" s="690">
        <f>IF(ISNUMBER(Datos!N12+DatosP!N16),Datos!N12+DatosP!N16," - ")</f>
        <v>74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8.9600000000000009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2.9702970297029702E-2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58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27</v>
      </c>
      <c r="AE13" s="939">
        <f t="shared" si="1"/>
        <v>0</v>
      </c>
      <c r="AF13" s="939">
        <f t="shared" si="1"/>
        <v>13</v>
      </c>
      <c r="AG13" s="939">
        <f t="shared" si="1"/>
        <v>0</v>
      </c>
      <c r="AH13" s="939">
        <f t="shared" si="1"/>
        <v>1040</v>
      </c>
      <c r="AI13" s="939">
        <f t="shared" si="1"/>
        <v>0</v>
      </c>
      <c r="AJ13" s="939">
        <f t="shared" si="1"/>
        <v>0</v>
      </c>
      <c r="AK13" s="939">
        <f t="shared" si="1"/>
        <v>0</v>
      </c>
      <c r="AL13" s="939">
        <f t="shared" si="1"/>
        <v>26</v>
      </c>
      <c r="AM13" s="939">
        <f t="shared" si="1"/>
        <v>75</v>
      </c>
      <c r="AN13" s="939">
        <f t="shared" si="1"/>
        <v>0</v>
      </c>
      <c r="AO13" s="939">
        <f t="shared" si="1"/>
        <v>0</v>
      </c>
      <c r="AP13" s="944">
        <f>IF(ISNUMBER(((Datos!L13/Datos!K13)*11)/factor_trimestre),((Datos!L13/Datos!K13)*11)/factor_trimestre," - ")</f>
        <v>10.358620689655172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-7.1428571428571425E-2</v>
      </c>
      <c r="AU13" s="939" t="str">
        <f>IF(ISNUMBER((DatosP!#REF!-DatosP!#REF!+DatosP!#REF!)/(DatosP!#REF!+DatosP!#REF!-DatosP!#REF!-DatosP!#REF!)),(DatosP!#REF!-DatosP!#REF!+DatosP!#REF!)/(DatosP!#REF!+DatosP!#REF!-DatosP!#REF!-DatosP!#REF!)," - ")</f>
        <v xml:space="preserve"> - </v>
      </c>
      <c r="AV13" s="945">
        <f>SUBTOTAL(9,AV9:AV12)</f>
        <v>2.9702970297029702E-2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1.1420911528150135</v>
      </c>
      <c r="AQ18" s="944">
        <f>IF(ISNUMBER(((Datos!M18/Datos!L18)*11)/factor_trimestre),((Datos!M18/Datos!L18)*11)/factor_trimestre," - ")</f>
        <v>0.13145539906103287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-0.10526315789473684</v>
      </c>
      <c r="AW18" s="946">
        <f>IF(ISNUMBER((Datos!Q18-Datos!R18)/(Datos!S18-Datos!Q18+Datos!R18)),(Datos!Q18-Datos!R18)/(Datos!S18-Datos!Q18+Datos!R18)," - ")</f>
        <v>-5.6910569105691054E-2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58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27</v>
      </c>
      <c r="AE19" s="957">
        <f t="shared" si="5"/>
        <v>0</v>
      </c>
      <c r="AF19" s="958">
        <f t="shared" si="5"/>
        <v>13</v>
      </c>
      <c r="AG19" s="958">
        <f t="shared" si="5"/>
        <v>0</v>
      </c>
      <c r="AH19" s="958">
        <f t="shared" si="5"/>
        <v>1040</v>
      </c>
      <c r="AI19" s="958">
        <f t="shared" si="5"/>
        <v>0</v>
      </c>
      <c r="AJ19" s="959">
        <f t="shared" si="5"/>
        <v>0</v>
      </c>
      <c r="AK19" s="959">
        <f t="shared" si="5"/>
        <v>0</v>
      </c>
      <c r="AL19" s="951">
        <f t="shared" si="5"/>
        <v>26</v>
      </c>
      <c r="AM19" s="951">
        <f t="shared" si="5"/>
        <v>75</v>
      </c>
      <c r="AN19" s="951">
        <f t="shared" si="5"/>
        <v>0</v>
      </c>
      <c r="AO19" s="951">
        <f t="shared" si="5"/>
        <v>0</v>
      </c>
      <c r="AP19" s="951">
        <f>IF(ISNUMBER(((Datos!L19/Datos!K19)*11)/factor_trimestre),((Datos!L19/Datos!K19)*11)/factor_trimestre," - ")</f>
        <v>3.7220077220077226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-7.1428571428571425E-2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2.8155339805825241E-2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10.412133283918145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kAygBdhelqumwfjxsRayyRCnnE/8yPIrUkVluPPlxQHHnDEGiVFN/N1zTsyLHqsDsENT9GwtT4Jg3T6qQAhZA==" saltValue="iYz5bc3l4BIdbzsGDbqf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CABRA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2vw+TnMrbZZ64GjpBdHIvaORsa8H5fRtTcFxN7CBqcD/MNN2HFCPHtVUVnJZmtlJoI5/HmVHc2hA2VQd8ocFog==" saltValue="mvaqxKFBQrD+f+y92fj9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CABRA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26</v>
      </c>
      <c r="E12" s="404">
        <f t="shared" si="0"/>
        <v>13</v>
      </c>
      <c r="F12" s="403">
        <f>IF(ISNUMBER(Datos!N12),Datos!N12," - ")</f>
        <v>74</v>
      </c>
      <c r="G12" s="404">
        <f t="shared" si="1"/>
        <v>37</v>
      </c>
      <c r="H12" s="403">
        <f>IF(ISNUMBER(Datos!O12),Datos!O12," - ")</f>
        <v>76</v>
      </c>
      <c r="I12" s="404">
        <f t="shared" si="2"/>
        <v>38</v>
      </c>
      <c r="BZ12" s="1186">
        <f>Datos!EZ12</f>
        <v>0</v>
      </c>
    </row>
    <row r="13" spans="1:78" ht="14.25" thickTop="1" thickBot="1">
      <c r="A13" s="848" t="str">
        <f>Datos!A13</f>
        <v>TOTAL</v>
      </c>
      <c r="B13" s="849">
        <f>Datos!AP13</f>
        <v>2</v>
      </c>
      <c r="C13" s="851">
        <f>Datos!AR13</f>
        <v>2</v>
      </c>
      <c r="D13" s="849">
        <f>SUBTOTAL(9,D9:D12)</f>
        <v>26</v>
      </c>
      <c r="E13" s="850">
        <f t="shared" si="0"/>
        <v>13</v>
      </c>
      <c r="F13" s="849">
        <f>SUBTOTAL(9,F9:F12)</f>
        <v>75</v>
      </c>
      <c r="G13" s="850">
        <f t="shared" si="1"/>
        <v>37.5</v>
      </c>
      <c r="H13" s="849">
        <f>SUBTOTAL(9,H9:H12)</f>
        <v>76</v>
      </c>
      <c r="I13" s="850">
        <f>IF(ISNUMBER(H13/B13),H13/B13," - ")</f>
        <v>38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12</v>
      </c>
      <c r="E16" s="404">
        <f t="shared" si="3"/>
        <v>6</v>
      </c>
      <c r="F16" s="403">
        <f>IF(ISNUMBER(Datos!N16),Datos!N16," - ")</f>
        <v>322</v>
      </c>
      <c r="G16" s="404">
        <f t="shared" si="4"/>
        <v>161</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17</v>
      </c>
      <c r="G17" s="404">
        <f>IF(ISNUMBER(F17/B17),F17/B17," - ")</f>
        <v>17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14</v>
      </c>
      <c r="E18" s="850">
        <f t="shared" si="3"/>
        <v>7</v>
      </c>
      <c r="F18" s="849">
        <f>SUBTOTAL(9,F15:F17)</f>
        <v>339</v>
      </c>
      <c r="G18" s="850">
        <f t="shared" si="4"/>
        <v>169.5</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40</v>
      </c>
      <c r="E19" s="795">
        <f>IF(ISNUMBER(D19/B19),D19/B19," - ")</f>
        <v>20</v>
      </c>
      <c r="F19" s="794">
        <f>SUBTOTAL(9,F8:F18)</f>
        <v>414</v>
      </c>
      <c r="G19" s="795">
        <f>IF(ISNUMBER(F19/B19),F19/B19," - ")</f>
        <v>207</v>
      </c>
      <c r="H19" s="794">
        <f>SUBTOTAL(9,H8:H18)</f>
        <v>79</v>
      </c>
      <c r="I19" s="795">
        <f>IF(ISNUMBER(H19/B19),H19/B19," - ")</f>
        <v>39.5</v>
      </c>
    </row>
    <row r="22" spans="1:78">
      <c r="A22" s="391" t="str">
        <f>Criterios!A4</f>
        <v>Fecha Informe: 29 nov. 2024</v>
      </c>
    </row>
    <row r="27" spans="1:78">
      <c r="A27" s="414"/>
    </row>
  </sheetData>
  <sheetProtection algorithmName="SHA-512" hashValue="Quk1mSI4elpojPDwLVt+sWVvcRXA3aLQhCxNj5zj4VmNx/ZvZHgn9XLzGLR8wdvPOeYdvAmsBR0wU3sjLJbCLQ==" saltValue="DHsX4SFDaZhX2XjpQK0M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CABRA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v>
      </c>
      <c r="C12" s="434">
        <f>IF(ISNUMBER(Datos!Q12),Datos!Q12," - ")</f>
        <v>27</v>
      </c>
      <c r="D12" s="408">
        <f>IF(ISNUMBER(Datos!R12),Datos!R12," - ")</f>
        <v>1040</v>
      </c>
    </row>
    <row r="13" spans="1:4" ht="14.25" thickTop="1" thickBot="1">
      <c r="A13" s="848" t="str">
        <f>Datos!A13</f>
        <v>TOTAL</v>
      </c>
      <c r="B13" s="849">
        <f>SUBTOTAL(9,B9:B12)</f>
        <v>58</v>
      </c>
      <c r="C13" s="853">
        <f>SUBTOTAL(9,C9:C12)</f>
        <v>27</v>
      </c>
      <c r="D13" s="851">
        <f>SUBTOTAL(9,D9:D12)</f>
        <v>1042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3</v>
      </c>
      <c r="D16" s="408">
        <f>IF(ISNUMBER(Datos!R16),Datos!R16," - ")</f>
        <v>17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3</v>
      </c>
      <c r="D18" s="851">
        <f>SUBTOTAL(9,D15:D17)</f>
        <v>17</v>
      </c>
    </row>
    <row r="19" spans="1:4" ht="16.5" customHeight="1" thickTop="1" thickBot="1">
      <c r="A19" s="793" t="str">
        <f>Datos!A19</f>
        <v>TOTAL JURISDICCIONES</v>
      </c>
      <c r="B19" s="798">
        <f>SUBTOTAL(9,B8:B18)</f>
        <v>59</v>
      </c>
      <c r="C19" s="799">
        <f>SUBTOTAL(9,C8:C18)</f>
        <v>30</v>
      </c>
      <c r="D19" s="800">
        <f>SUBTOTAL(9,D8:D18)</f>
        <v>1059</v>
      </c>
    </row>
    <row r="20" spans="1:4" ht="7.5" customHeight="1"/>
    <row r="21" spans="1:4" ht="6" customHeight="1"/>
    <row r="22" spans="1:4">
      <c r="A22" s="391" t="str">
        <f>Criterios!A4</f>
        <v>Fecha Informe: 29 nov. 2024</v>
      </c>
    </row>
    <row r="27" spans="1:4">
      <c r="A27" s="414"/>
    </row>
  </sheetData>
  <sheetProtection algorithmName="SHA-512" hashValue="heAYYUIvHu8fjC09tEaOCpDclxfrIKfGLBAW/XcA6wyNKUREy0MZwTKLK0BttSfKkdnxJewVzL8DPXTHGV2mxw==" saltValue="ibO8pVcLnsFqldzwN3K2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CABRA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2.25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0.29757085020242913</v>
      </c>
      <c r="C12" s="456">
        <f>IF(ISNUMBER(
   IF(J_V="SI",(Datos!J12-Datos!T12)/Datos!T12,(Datos!J12+Datos!Z12-(Datos!T12+Datos!AH12))/(Datos!T12+Datos!AH12))
     ),IF(J_V="SI",(Datos!J12-Datos!T12)/Datos!T12,(Datos!J12+Datos!Z12-(Datos!T12+Datos!AH12))/(Datos!T12+Datos!AH12))," - ")</f>
        <v>0.35319148936170214</v>
      </c>
      <c r="D12" s="456">
        <f>IF(ISNUMBER(
   IF(J_V="SI",(Datos!K12-Datos!U12)/Datos!U12,(Datos!K12+Datos!AA12-(Datos!U12+Datos!AI12))/(Datos!U12+Datos!AI12))
     ),IF(J_V="SI",(Datos!K12-Datos!U12)/Datos!U12,(Datos!K12+Datos!AA12-(Datos!U12+Datos!AI12))/(Datos!U12+Datos!AI12))," - ")</f>
        <v>-8.8541666666666671E-2</v>
      </c>
      <c r="E12" s="456">
        <f>IF(ISNUMBER(
   IF(J_V="SI",(Datos!L12-Datos!V12)/Datos!V12,(Datos!L12+Datos!AB12-(Datos!V12+Datos!AJ12))/(Datos!V12+Datos!AJ12))
     ),IF(J_V="SI",(Datos!L12-Datos!V12)/Datos!V12,(Datos!L12+Datos!AB12-(Datos!V12+Datos!AJ12))/(Datos!V12+Datos!AJ12))," - ")</f>
        <v>0.45996275605214154</v>
      </c>
      <c r="F12" s="456">
        <f>IF(ISNUMBER((Datos!M12-Datos!W12)/Datos!W12),(Datos!M12-Datos!W12)/Datos!W12," - ")</f>
        <v>-0.10344827586206896</v>
      </c>
      <c r="G12" s="457">
        <f>IF(ISNUMBER((Datos!N12-Datos!X12)/Datos!X12),(Datos!N12-Datos!X12)/Datos!X12," - ")</f>
        <v>-0.33333333333333331</v>
      </c>
      <c r="H12" s="455">
        <f>IF(ISNUMBER(((NºAsuntos!G12/NºAsuntos!E12)-Datos!BD12)/Datos!BD12),((NºAsuntos!G12/NºAsuntos!E12)-Datos!BD12)/Datos!BD12," - ")</f>
        <v>-0.32643802410901468</v>
      </c>
      <c r="I12" s="456">
        <f>IF(ISNUMBER(((NºAsuntos!I12/NºAsuntos!G12)-Datos!BE12)/Datos!BE12),((NºAsuntos!I12/NºAsuntos!G12)-Datos!BE12)/Datos!BE12," - ")</f>
        <v>0.60178770949720684</v>
      </c>
      <c r="J12" s="461">
        <f>IF(ISNUMBER((('Resol  Asuntos'!D12/NºAsuntos!G12)-Datos!BF12)/Datos!BF12),(('Resol  Asuntos'!D12/NºAsuntos!G12)-Datos!BF12)/Datos!BF12," - ")</f>
        <v>-0.74301158301158299</v>
      </c>
      <c r="K12" s="462">
        <f>IF(ISNUMBER((((NºAsuntos!C12+NºAsuntos!E12)/NºAsuntos!G12)-Datos!BG12)/Datos!BG12),(((NºAsuntos!C12+NºAsuntos!E12)/NºAsuntos!G12)-Datos!BG12)/Datos!BG12," - ")</f>
        <v>0.44329218106995893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0.31526104417670681</v>
      </c>
      <c r="C13" s="855">
        <f>IF(ISNUMBER(
   IF(J_V="SI",(Datos!J13-Datos!T13)/Datos!T13,(Datos!J13+Datos!Z13-(Datos!T13+Datos!AH13))/(Datos!T13+Datos!AH13))
     ),IF(J_V="SI",(Datos!J13-Datos!T13)/Datos!T13,(Datos!J13+Datos!Z13-(Datos!T13+Datos!AH13))/(Datos!T13+Datos!AH13))," - ")</f>
        <v>0.35319148936170214</v>
      </c>
      <c r="D13" s="855">
        <f>IF(ISNUMBER(
   IF(J_V="SI",(Datos!K13-Datos!U13)/Datos!U13,(Datos!K13+Datos!AA13-(Datos!U13+Datos!AI13))/(Datos!U13+Datos!AI13))
     ),IF(J_V="SI",(Datos!K13-Datos!U13)/Datos!U13,(Datos!K13+Datos!AA13-(Datos!U13+Datos!AI13))/(Datos!U13+Datos!AI13))," - ")</f>
        <v>-8.3333333333333329E-2</v>
      </c>
      <c r="E13" s="855">
        <f>IF(ISNUMBER(
   IF(J_V="SI",(Datos!L13-Datos!V13)/Datos!V13,(Datos!L13+Datos!AB13-(Datos!V13+Datos!AJ13))/(Datos!V13+Datos!AJ13))
     ),IF(J_V="SI",(Datos!L13-Datos!V13)/Datos!V13,(Datos!L13+Datos!AB13-(Datos!V13+Datos!AJ13))/(Datos!V13+Datos!AJ13))," - ")</f>
        <v>0.47319778188539741</v>
      </c>
      <c r="F13" s="856">
        <f>IF(ISNUMBER((Datos!M13-Datos!W13)/Datos!W13),(Datos!M13-Datos!W13)/Datos!W13," - ")</f>
        <v>-0.10344827586206896</v>
      </c>
      <c r="G13" s="857">
        <f>IF(ISNUMBER((Datos!N13-Datos!X13)/Datos!X13),(Datos!N13-Datos!X13)/Datos!X13," - ")</f>
        <v>-0.32432432432432434</v>
      </c>
      <c r="H13" s="857">
        <f>IF(ISNUMBER(((NºAsuntos!G13/NºAsuntos!E13)-Datos!BD13)/Datos!BD13),((NºAsuntos!G13/NºAsuntos!E13)-Datos!BD13)/Datos!BD13," - ")</f>
        <v>-0.32258909853249473</v>
      </c>
      <c r="I13" s="857">
        <f>IF(ISNUMBER(((NºAsuntos!I13/NºAsuntos!G13)-Datos!BE13)/Datos!BE13),((NºAsuntos!I13/NºAsuntos!G13)-Datos!BE13)/Datos!BE13," - ")</f>
        <v>0.60712485296588792</v>
      </c>
      <c r="J13" s="857">
        <f>IF(ISNUMBER((('Resol  Asuntos'!D13/NºAsuntos!G13)-Datos!BF13)/Datos!BF13),(('Resol  Asuntos'!D13/NºAsuntos!G13)-Datos!BF13)/Datos!BF13," - ")</f>
        <v>-0.74447174447174447</v>
      </c>
      <c r="K13" s="857">
        <f>IF(ISNUMBER((((NºAsuntos!C13+NºAsuntos!E13)/NºAsuntos!G13)-Datos!BG13)/Datos!BG13),(((NºAsuntos!C13+NºAsuntos!E13)/NºAsuntos!G13)-Datos!BG13)/Datos!BG13," - ")</f>
        <v>0.44809624209351351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v>
      </c>
      <c r="C16" s="456">
        <f>IF(ISNUMBER(
   IF(D_I="SI",(Datos!J16-Datos!T16)/Datos!T16,(Datos!J16+Datos!AD16-(Datos!T16+Datos!AL16))/(Datos!T16+Datos!AL16))
     ),IF(D_I="SI",(Datos!J16-Datos!T16)/Datos!T16,(Datos!J16+Datos!AD16-(Datos!T16+Datos!AL16))/(Datos!T16+Datos!AL16))," - ")</f>
        <v>-0.22340425531914893</v>
      </c>
      <c r="D16" s="456">
        <f>IF(ISNUMBER(
   IF(D_I="SI",(Datos!K16-Datos!U16)/Datos!U16,(Datos!K16+Datos!AE16-(Datos!U16+Datos!AM16))/(Datos!U16+Datos!AM16))
     ),IF(D_I="SI",(Datos!K16-Datos!U16)/Datos!U16,(Datos!K16+Datos!AE16-(Datos!U16+Datos!AM16))/(Datos!U16+Datos!AM16))," - ")</f>
        <v>-0.125</v>
      </c>
      <c r="E16" s="456">
        <f>IF(ISNUMBER(
   IF(D_I="SI",(Datos!L16-Datos!V16)/Datos!V16,(Datos!L16+Datos!AF16-(Datos!V16+Datos!AN16))/(Datos!V16+Datos!AN16))
     ),IF(D_I="SI",(Datos!L16-Datos!V16)/Datos!V16,(Datos!L16+Datos!AF16-(Datos!V16+Datos!AN16))/(Datos!V16+Datos!AN16))," - ")</f>
        <v>-0.33793103448275863</v>
      </c>
      <c r="F16" s="456">
        <f>IF(ISNUMBER((Datos!M16-Datos!W16)/Datos!W16),(Datos!M16-Datos!W16)/Datos!W16," - ")</f>
        <v>-0.52</v>
      </c>
      <c r="G16" s="457">
        <f>IF(ISNUMBER((Datos!N16-Datos!X16)/Datos!X16),(Datos!N16-Datos!X16)/Datos!X16," - ")</f>
        <v>-8.2621082621082614E-2</v>
      </c>
      <c r="H16" s="455">
        <f>IF(ISNUMBER(((NºAsuntos!G16/NºAsuntos!E16)-Datos!BD16)/Datos!BD16),((NºAsuntos!G16/NºAsuntos!E16)-Datos!BD16)/Datos!BD16," - ")</f>
        <v>0.12671232876712321</v>
      </c>
      <c r="I16" s="456">
        <f>IF(ISNUMBER(((NºAsuntos!I16/NºAsuntos!G16)-Datos!BE16)/Datos!BE16),((NºAsuntos!I16/NºAsuntos!G16)-Datos!BE16)/Datos!BE16," - ")</f>
        <v>-0.24334975369458123</v>
      </c>
      <c r="J16" s="461">
        <f>IF(ISNUMBER((('Resol  Asuntos'!D16/NºAsuntos!G16)-Datos!BF16)/Datos!BF16),(('Resol  Asuntos'!D16/NºAsuntos!G16)-Datos!BF16)/Datos!BF16," - ")</f>
        <v>-0.4514285714285714</v>
      </c>
      <c r="K16" s="462">
        <f>IF(ISNUMBER((((NºAsuntos!C16+NºAsuntos!E16)/NºAsuntos!G16)-Datos!BG16)/Datos!BG16),(((NºAsuntos!C16+NºAsuntos!E16)/NºAsuntos!G16)-Datos!BG16)/Datos!BG16," - ")</f>
        <v>-0.10393374741200827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-8.3333333333333329E-2</v>
      </c>
      <c r="C17" s="456">
        <f>IF(ISNUMBER(
   IF(D_I="SI",(Datos!J17-Datos!T17)/Datos!T17,(Datos!J17+Datos!AD17-(Datos!T17+Datos!AL17))/(Datos!T17+Datos!AL17))
     ),IF(D_I="SI",(Datos!J17-Datos!T17)/Datos!T17,(Datos!J17+Datos!AD17-(Datos!T17+Datos!AL17))/(Datos!T17+Datos!AL17))," - ")</f>
        <v>0.14285714285714285</v>
      </c>
      <c r="D17" s="456">
        <f>IF(ISNUMBER(
   IF(D_I="SI",(Datos!K17-Datos!U17)/Datos!U17,(Datos!K17+Datos!AE17-(Datos!U17+Datos!AM17))/(Datos!U17+Datos!AM17))
     ),IF(D_I="SI",(Datos!K17-Datos!U17)/Datos!U17,(Datos!K17+Datos!AE17-(Datos!U17+Datos!AM17))/(Datos!U17+Datos!AM17))," - ")</f>
        <v>-0.28125</v>
      </c>
      <c r="E17" s="456">
        <f>IF(ISNUMBER(
   IF(D_I="SI",(Datos!L17-Datos!V17)/Datos!V17,(Datos!L17+Datos!AF17-(Datos!V17+Datos!AN17))/(Datos!V17+Datos!AN17))
     ),IF(D_I="SI",(Datos!L17-Datos!V17)/Datos!V17,(Datos!L17+Datos!AF17-(Datos!V17+Datos!AN17))/(Datos!V17+Datos!AN17))," - ")</f>
        <v>1.625</v>
      </c>
      <c r="F17" s="456">
        <f>IF(ISNUMBER((Datos!M17-Datos!W17)/Datos!W17),(Datos!M17-Datos!W17)/Datos!W17," - ")</f>
        <v>-0.7142857142857143</v>
      </c>
      <c r="G17" s="457">
        <f>IF(ISNUMBER((Datos!N17-Datos!X17)/Datos!X17),(Datos!N17-Datos!X17)/Datos!X17," - ")</f>
        <v>-0.2608695652173913</v>
      </c>
      <c r="H17" s="455">
        <f>IF(ISNUMBER(((NºAsuntos!G17/NºAsuntos!E17)-Datos!BD17)/Datos!BD17),((NºAsuntos!G17/NºAsuntos!E17)-Datos!BD17)/Datos!BD17," - ")</f>
        <v>-0.37109374999999994</v>
      </c>
      <c r="I17" s="456">
        <f>IF(ISNUMBER(((NºAsuntos!I17/NºAsuntos!G17)-Datos!BE17)/Datos!BE17),((NºAsuntos!I17/NºAsuntos!G17)-Datos!BE17)/Datos!BE17," - ")</f>
        <v>2.652173913043478</v>
      </c>
      <c r="J17" s="461">
        <f>IF(ISNUMBER((('Resol  Asuntos'!D17/NºAsuntos!G17)-Datos!BF17)/Datos!BF17),(('Resol  Asuntos'!D17/NºAsuntos!G17)-Datos!BF17)/Datos!BF17," - ")</f>
        <v>-0.60248447204968947</v>
      </c>
      <c r="K17" s="462">
        <f>IF(ISNUMBER((((NºAsuntos!C17+NºAsuntos!E17)/NºAsuntos!G17)-Datos!BG17)/Datos!BG17),(((NºAsuntos!C17+NºAsuntos!E17)/NºAsuntos!G17)-Datos!BG17)/Datos!BG17," - ")</f>
        <v>0.49565217391304356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-0.19396551724137931</v>
      </c>
      <c r="C18" s="855">
        <f>IF(ISNUMBER(
   IF(Criterios!B14="SI",(Datos!J18-Datos!T18)/Datos!T18,(Datos!J18+Datos!AD18-(Datos!T18+Datos!AL18))/(Datos!T18+Datos!AL18))
     ),IF(Criterios!B14="SI",(Datos!J18-Datos!T18)/Datos!T18,(Datos!J18+Datos!AD18-(Datos!T18+Datos!AL18))/(Datos!T18+Datos!AL18))," - ")</f>
        <v>-0.20281124497991967</v>
      </c>
      <c r="D18" s="855">
        <f>IF(ISNUMBER(
   IF(Criterios!B14="SI",(Datos!K18-Datos!U18)/Datos!U18,(Datos!K18+Datos!AE18-(Datos!U18+Datos!AM18))/(Datos!U18+Datos!AM18))
     ),IF(Criterios!B14="SI",(Datos!K18-Datos!U18)/Datos!U18,(Datos!K18+Datos!AE18-(Datos!U18+Datos!AM18))/(Datos!U18+Datos!AM18))," - ")</f>
        <v>-0.13657407407407407</v>
      </c>
      <c r="E18" s="855">
        <f>IF(ISNUMBER(
   IF(Criterios!B14="SI",(Datos!L18-Datos!V18)/Datos!V18,(Datos!L18+Datos!AF18-(Datos!V18+Datos!AN18))/(Datos!V18+Datos!AN18))
     ),IF(Criterios!B14="SI",(Datos!L18-Datos!V18)/Datos!V18,(Datos!L18+Datos!AF18-(Datos!V18+Datos!AN18))/(Datos!V18+Datos!AN18))," - ")</f>
        <v>-0.28523489932885904</v>
      </c>
      <c r="F18" s="856">
        <f>IF(ISNUMBER((Datos!M18-Datos!W18)/Datos!W18),(Datos!M18-Datos!W18)/Datos!W18," - ")</f>
        <v>-0.5625</v>
      </c>
      <c r="G18" s="857">
        <f>IF(ISNUMBER((Datos!N18-Datos!X18)/Datos!X18),(Datos!N18-Datos!X18)/Datos!X18," - ")</f>
        <v>-9.3582887700534759E-2</v>
      </c>
      <c r="H18" s="857">
        <f>IF(ISNUMBER(((NºAsuntos!G18/NºAsuntos!E18)-Datos!BD18)/Datos!BD18),((NºAsuntos!G18/NºAsuntos!E18)-Datos!BD18)/Datos!BD18," - ")</f>
        <v>8.3088441085922171E-2</v>
      </c>
      <c r="I18" s="857">
        <f>IF(ISNUMBER(((NºAsuntos!I18/NºAsuntos!G18)-Datos!BE18)/Datos!BE18),((NºAsuntos!I18/NºAsuntos!G18)-Datos!BE18)/Datos!BE18," - ")</f>
        <v>-0.17217554024146667</v>
      </c>
      <c r="J18" s="857">
        <f>IF(ISNUMBER((('Resol  Asuntos'!D18/NºAsuntos!G18)-Datos!BF18)/Datos!BF18),(('Resol  Asuntos'!D18/NºAsuntos!G18)-Datos!BF18)/Datos!BF18," - ")</f>
        <v>-0.49329758713136729</v>
      </c>
      <c r="K18" s="857">
        <f>IF(ISNUMBER((((NºAsuntos!C18+NºAsuntos!E18)/NºAsuntos!G18)-Datos!BG18)/Datos!BG18),(((NºAsuntos!C18+NºAsuntos!E18)/NºAsuntos!G18)-Datos!BG18)/Datos!BG18," - ")</f>
        <v>-7.3458445040214551E-2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0.15342465753424658</v>
      </c>
      <c r="C19" s="802">
        <f>IF(ISNUMBER(
   IF(J_V="SI",(Datos!J19-Datos!T19)/Datos!T19,(Datos!J19+Datos!Z19-(Datos!T19+Datos!AH19))/(Datos!T19+Datos!AH19))
     ),IF(J_V="SI",(Datos!J19-Datos!T19)/Datos!T19,(Datos!J19+Datos!Z19-(Datos!T19+Datos!AH19))/(Datos!T19+Datos!AH19))," - ")</f>
        <v>-2.4556616643929059E-2</v>
      </c>
      <c r="D19" s="802">
        <f>IF(ISNUMBER(
   IF(J_V="SI",(Datos!K19-Datos!U19)/Datos!U19,(Datos!K19+Datos!AA19-(Datos!U19+Datos!AI19))/(Datos!U19+Datos!AI19))
     ),IF(J_V="SI",(Datos!K19-Datos!U19)/Datos!U19,(Datos!K19+Datos!AA19-(Datos!U19+Datos!AI19))/(Datos!U19+Datos!AI19))," - ")</f>
        <v>-0.1201923076923077</v>
      </c>
      <c r="E19" s="802">
        <f>IF(ISNUMBER(
   IF(J_V="SI",(Datos!L19-Datos!V19)/Datos!V19,(Datos!L19+Datos!AB19-(Datos!V19+Datos!AJ19))/(Datos!V19+Datos!AJ19))
     ),IF(J_V="SI",(Datos!L19-Datos!V19)/Datos!V19,(Datos!L19+Datos!AB19-(Datos!V19+Datos!AJ19))/(Datos!V19+Datos!AJ19))," - ")</f>
        <v>0.20381406436233612</v>
      </c>
      <c r="F19" s="803">
        <f>IF(ISNUMBER((Datos!M19-Datos!W19)/Datos!W19),(Datos!M19-Datos!W19)/Datos!W19," - ")</f>
        <v>-0.34426229508196721</v>
      </c>
      <c r="G19" s="804">
        <f>IF(ISNUMBER((Datos!N19-Datos!X19)/Datos!X19),(Datos!N19-Datos!X19)/Datos!X19," - ")</f>
        <v>-0.14639175257731959</v>
      </c>
      <c r="H19" s="805">
        <f>IF(ISNUMBER((Tasas!B19-Datos!BD19)/Datos!BD19),(Tasas!B19-Datos!BD19)/Datos!BD19," - ")</f>
        <v>-9.8043302850995218E-2</v>
      </c>
      <c r="I19" s="806">
        <f>IF(ISNUMBER((Tasas!C19-Datos!BE19)/Datos!BE19),(Tasas!C19-Datos!BE19)/Datos!BE19," - ")</f>
        <v>0.36826953763587911</v>
      </c>
      <c r="J19" s="807">
        <f>IF(ISNUMBER((Tasas!D19-Datos!BF19)/Datos!BF19),(Tasas!D19-Datos!BF19)/Datos!BF19," - ")</f>
        <v>-0.68206656731246895</v>
      </c>
      <c r="K19" s="807">
        <f>IF(ISNUMBER((Tasas!E19-Datos!BG19)/Datos!BG19),(Tasas!E19-Datos!BG19)/Datos!BG19," - ")</f>
        <v>0.2096410922985556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WQGZN1L4h9aO9m0sTBwNhAe9LnNOyNemL7WCd3g+cwcHYbI91v0c6RmxDBXYWQ9Mf2CxflT5H/1mESwIy7oQQ==" saltValue="e4cgSsb6vEMsZ9wXADZl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CABRA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13</v>
      </c>
      <c r="D10" s="444">
        <f>IF(ISNUMBER('Resol  Asuntos'!D10/NºAsuntos!G10),'Resol  Asuntos'!D10/NºAsuntos!G10," - ")</f>
        <v>0</v>
      </c>
      <c r="E10" s="445">
        <f>IF(ISNUMBER((NºAsuntos!C10+NºAsuntos!E10)/NºAsuntos!G10),(NºAsuntos!C10+NºAsuntos!E10)/NºAsuntos!G10," - ")</f>
        <v>14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0.55031446540880502</v>
      </c>
      <c r="C12" s="443">
        <f>IF(ISNUMBER(NºAsuntos!I12/NºAsuntos!G12),NºAsuntos!I12/NºAsuntos!G12," - ")</f>
        <v>4.4800000000000004</v>
      </c>
      <c r="D12" s="444">
        <f>IF(ISNUMBER('Resol  Asuntos'!D12/NºAsuntos!G12),'Resol  Asuntos'!D12/NºAsuntos!G12," - ")</f>
        <v>0.14857142857142858</v>
      </c>
      <c r="E12" s="445">
        <f>IF(ISNUMBER((NºAsuntos!C12+NºAsuntos!E12)/NºAsuntos!G12),(NºAsuntos!C12+NºAsuntos!E12)/NºAsuntos!G12," - ")</f>
        <v>5.48</v>
      </c>
      <c r="G12" s="463"/>
    </row>
    <row r="13" spans="1:7" ht="14.25" thickTop="1" thickBot="1">
      <c r="A13" s="848" t="str">
        <f>Datos!A13</f>
        <v>TOTAL</v>
      </c>
      <c r="B13" s="858">
        <f>IF(ISNUMBER(NºAsuntos!G13/NºAsuntos!E13),NºAsuntos!G13/NºAsuntos!E13," - ")</f>
        <v>0.55345911949685533</v>
      </c>
      <c r="C13" s="859">
        <f>IF(ISNUMBER(NºAsuntos!I13/NºAsuntos!G13),NºAsuntos!I13/NºAsuntos!G13," - ")</f>
        <v>4.5284090909090908</v>
      </c>
      <c r="D13" s="860">
        <f>IF(ISNUMBER('Resol  Asuntos'!D13/NºAsuntos!G13),'Resol  Asuntos'!D13/NºAsuntos!G13," - ")</f>
        <v>0.14772727272727273</v>
      </c>
      <c r="E13" s="861">
        <f>IF(ISNUMBER((NºAsuntos!C13+NºAsuntos!E13)/NºAsuntos!G13),(NºAsuntos!C13+NºAsuntos!E13)/NºAsuntos!G13," - ")</f>
        <v>5.5284090909090908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0.95890410958904104</v>
      </c>
      <c r="C16" s="443">
        <f>IF(ISNUMBER(NºAsuntos!I16/NºAsuntos!G16),NºAsuntos!I16/NºAsuntos!G16," - ")</f>
        <v>0.5485714285714286</v>
      </c>
      <c r="D16" s="444">
        <f>IF(ISNUMBER('Resol  Asuntos'!D16/NºAsuntos!G16),'Resol  Asuntos'!D16/NºAsuntos!G16," - ")</f>
        <v>3.4285714285714287E-2</v>
      </c>
      <c r="E16" s="445">
        <f>IF(ISNUMBER((NºAsuntos!C16+NºAsuntos!E16)/NºAsuntos!G16),(NºAsuntos!C16+NºAsuntos!E16)/NºAsuntos!G16," - ")</f>
        <v>1.5457142857142858</v>
      </c>
      <c r="G16" s="463"/>
    </row>
    <row r="17" spans="1:7" ht="13.5" thickBot="1">
      <c r="A17" s="402" t="str">
        <f>Datos!A17</f>
        <v>Jdos. Violencia contra la mujer</v>
      </c>
      <c r="B17" s="442">
        <f>IF(ISNUMBER(NºAsuntos!G17/NºAsuntos!E17),NºAsuntos!G17/NºAsuntos!E17," - ")</f>
        <v>0.71875</v>
      </c>
      <c r="C17" s="443">
        <f>IF(ISNUMBER(NºAsuntos!I17/NºAsuntos!G17),NºAsuntos!I17/NºAsuntos!G17," - ")</f>
        <v>0.91304347826086951</v>
      </c>
      <c r="D17" s="444">
        <f>IF(ISNUMBER('Resol  Asuntos'!D17/NºAsuntos!G17),'Resol  Asuntos'!D17/NºAsuntos!G17," - ")</f>
        <v>8.6956521739130432E-2</v>
      </c>
      <c r="E17" s="445">
        <f>IF(ISNUMBER((NºAsuntos!C17+NºAsuntos!E17)/NºAsuntos!G17),(NºAsuntos!C17+NºAsuntos!E17)/NºAsuntos!G17," - ")</f>
        <v>1.8695652173913044</v>
      </c>
      <c r="G17" s="463"/>
    </row>
    <row r="18" spans="1:7" ht="14.25" thickTop="1" thickBot="1">
      <c r="A18" s="848" t="str">
        <f>Datos!A18</f>
        <v>TOTAL</v>
      </c>
      <c r="B18" s="858">
        <f>IF(ISNUMBER(NºAsuntos!G18/NºAsuntos!E18),NºAsuntos!G18/NºAsuntos!E18," - ")</f>
        <v>0.93954659949622166</v>
      </c>
      <c r="C18" s="859">
        <f>IF(ISNUMBER(NºAsuntos!I18/NºAsuntos!G18),NºAsuntos!I18/NºAsuntos!G18," - ")</f>
        <v>0.57104557640750675</v>
      </c>
      <c r="D18" s="862">
        <f>IF(ISNUMBER('Resol  Asuntos'!D18/NºAsuntos!G18),'Resol  Asuntos'!D18/NºAsuntos!G18," - ")</f>
        <v>3.7533512064343161E-2</v>
      </c>
      <c r="E18" s="861">
        <f>IF(ISNUMBER((NºAsuntos!C18+NºAsuntos!E18)/NºAsuntos!G18),(NºAsuntos!C18+NºAsuntos!E18)/NºAsuntos!G18," - ")</f>
        <v>1.5656836461126005</v>
      </c>
      <c r="G18" s="463"/>
    </row>
    <row r="19" spans="1:7" ht="15.75" customHeight="1" thickTop="1" thickBot="1">
      <c r="A19" s="793" t="str">
        <f>Datos!A19</f>
        <v>TOTAL JURISDICCIONES</v>
      </c>
      <c r="B19" s="808">
        <f>IF(ISNUMBER(NºAsuntos!G19/NºAsuntos!E19),NºAsuntos!G19/NºAsuntos!E19," - ")</f>
        <v>0.76783216783216779</v>
      </c>
      <c r="C19" s="809">
        <f>IF(ISNUMBER(NºAsuntos!I19/NºAsuntos!G19),NºAsuntos!I19/NºAsuntos!G19," - ")</f>
        <v>1.8397085610200363</v>
      </c>
      <c r="D19" s="810">
        <f>IF(ISNUMBER('Resol  Asuntos'!D19/NºAsuntos!G19),'Resol  Asuntos'!D19/NºAsuntos!G19," - ")</f>
        <v>7.2859744990892539E-2</v>
      </c>
      <c r="E19" s="811">
        <f>IF(ISNUMBER((NºAsuntos!C19+NºAsuntos!E19)/NºAsuntos!G19),(NºAsuntos!C19+NºAsuntos!E19)/NºAsuntos!G19," - ")</f>
        <v>2.8360655737704916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HEajJ7McuZJgyeDCj/w6wcfbLg0Qe3l2KGsxQNjbXBXO5Hy0omZKLR/IJNzod1tPuHEZgz/xcpTjGnCdSplZg==" saltValue="wgG8RcO+IQKin5JUKws2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CABRA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13</v>
      </c>
      <c r="AB10" s="334">
        <f>IF(ISNUMBER(Datos!R10),Datos!R10," - ")</f>
        <v>2</v>
      </c>
      <c r="AC10" s="334">
        <f t="shared" ref="AC10:AC12" si="1">IF(ISNUMBER(AA10+AB10),AA10+AB10," - ")</f>
        <v>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26</v>
      </c>
      <c r="AN10" s="244">
        <f>IF(ISNUMBER('Resol  Asuntos'!D10/NºAsuntos!G10),'Resol  Asuntos'!D10/NºAsuntos!G10," - ")</f>
        <v>0</v>
      </c>
      <c r="AO10" s="245">
        <f>IF(ISNUMBER((NºAsuntos!C10+NºAsuntos!E10)/NºAsuntos!G10),(NºAsuntos!C10+NºAsuntos!E10)/NºAsuntos!G10," - ")</f>
        <v>14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v>
      </c>
      <c r="Y12" s="334">
        <f t="shared" si="0"/>
        <v>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1040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v>
      </c>
      <c r="AJ12" s="229" t="str">
        <f>IF(ISNUMBER(Datos!BW12),Datos!BW12," - ")</f>
        <v xml:space="preserve"> - </v>
      </c>
      <c r="AK12" s="228" t="str">
        <f>IF(ISNUMBER(Datos!BX12),Datos!BX12," - ")</f>
        <v xml:space="preserve"> - </v>
      </c>
      <c r="AL12" s="243">
        <f>IF(ISNUMBER(NºAsuntos!G12/NºAsuntos!E12),NºAsuntos!G12/NºAsuntos!E12," - ")</f>
        <v>0.55031446540880502</v>
      </c>
      <c r="AM12" s="260">
        <f>IF(ISNUMBER(((NºAsuntos!I12/NºAsuntos!G12)*11)/factor_trimestre),((NºAsuntos!I12/NºAsuntos!G12)*11)/factor_trimestre," - ")</f>
        <v>8.9600000000000009</v>
      </c>
      <c r="AN12" s="244">
        <f>IF(ISNUMBER('Resol  Asuntos'!D12/NºAsuntos!G12),'Resol  Asuntos'!D12/NºAsuntos!G12," - ")</f>
        <v>0.14857142857142858</v>
      </c>
      <c r="AO12" s="245">
        <f>IF(ISNUMBER((NºAsuntos!C12+NºAsuntos!E12)/NºAsuntos!G12),(NºAsuntos!C12+NºAsuntos!E12)/NºAsuntos!G12," - ")</f>
        <v>5.48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27</v>
      </c>
      <c r="Y13" s="868">
        <f t="shared" si="4"/>
        <v>28</v>
      </c>
      <c r="Z13" s="868">
        <f t="shared" si="4"/>
        <v>0</v>
      </c>
      <c r="AA13" s="868">
        <f t="shared" si="4"/>
        <v>13</v>
      </c>
      <c r="AB13" s="868">
        <f t="shared" si="4"/>
        <v>1042</v>
      </c>
      <c r="AC13" s="868">
        <f t="shared" si="4"/>
        <v>15</v>
      </c>
      <c r="AD13" s="868">
        <f t="shared" si="4"/>
        <v>0</v>
      </c>
      <c r="AE13" s="872">
        <f t="shared" si="4"/>
        <v>0</v>
      </c>
      <c r="AF13" s="865">
        <f t="shared" si="4"/>
        <v>0</v>
      </c>
      <c r="AG13" s="873">
        <f t="shared" si="4"/>
        <v>0</v>
      </c>
      <c r="AH13" s="870">
        <f t="shared" si="4"/>
        <v>0</v>
      </c>
      <c r="AI13" s="865">
        <f t="shared" si="4"/>
        <v>26</v>
      </c>
      <c r="AJ13" s="867">
        <f t="shared" si="4"/>
        <v>0</v>
      </c>
      <c r="AK13" s="870">
        <f>SUBTOTAL(9,AK9:AK12)</f>
        <v>0</v>
      </c>
      <c r="AL13" s="874">
        <f>IF(ISNUMBER(NºAsuntos!G13/NºAsuntos!E13),NºAsuntos!G13/NºAsuntos!E13," - ")</f>
        <v>0.55345911949685533</v>
      </c>
      <c r="AM13" s="874">
        <f>IF(ISNUMBER(((NºAsuntos!I13/NºAsuntos!G13)*11)/factor_trimestre),((NºAsuntos!I13/NºAsuntos!G13)*11)/factor_trimestre," - ")</f>
        <v>9.0568181818181817</v>
      </c>
      <c r="AN13" s="875">
        <f>IF(ISNUMBER('Resol  Asuntos'!D13/NºAsuntos!G13),'Resol  Asuntos'!D13/NºAsuntos!G13," - ")</f>
        <v>0.14772727272727273</v>
      </c>
      <c r="AO13" s="876">
        <f>IF(ISNUMBER((NºAsuntos!C13+NºAsuntos!E13)/NºAsuntos!G13),(NºAsuntos!C13+NºAsuntos!E13)/NºAsuntos!G13," - ")</f>
        <v>5.5284090909090908</v>
      </c>
      <c r="AP13" s="877" t="str">
        <f t="shared" si="2"/>
        <v xml:space="preserve"> - </v>
      </c>
      <c r="AQ13" s="877">
        <f>IF(ISNUMBER((H13-W13+K13)/(F13)),(H13-W13+K13)/(F13)," - ")</f>
        <v>-7.1428571428571425E-2</v>
      </c>
      <c r="AR13" s="878">
        <f>IF(ISNUMBER((Datos!P13-Datos!Q13)/(Datos!R13-Datos!P13+Datos!Q13)),(Datos!P13-Datos!Q13)/(Datos!R13-Datos!P13+Datos!Q13)," - ")</f>
        <v>3.0662710187932742E-2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177</v>
      </c>
      <c r="G16" s="333">
        <f>IF(ISNUMBER(IF(D_I="SI",Datos!I16,Datos!I16+Datos!AC16)),IF(D_I="SI",Datos!I16,Datos!I16+Datos!AC16)," - ")</f>
        <v>176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350</v>
      </c>
      <c r="X16" s="226">
        <f>IF(ISNUMBER(Datos!Q16),Datos!Q16," - ")</f>
        <v>3</v>
      </c>
      <c r="Y16" s="334">
        <f t="shared" ref="Y16:Y17" si="7">SUM(W16:X16)</f>
        <v>353</v>
      </c>
      <c r="Z16" s="335" t="str">
        <f>IF(ISNUMBER(Datos!CC16),Datos!CC16," - ")</f>
        <v xml:space="preserve"> - </v>
      </c>
      <c r="AA16" s="332">
        <f>IF(ISNUMBER(IF(D_I="SI",Datos!L16,Datos!L16+Datos!AF16)),IF(D_I="SI",Datos!L16,Datos!L16+Datos!AF16)," - ")</f>
        <v>192</v>
      </c>
      <c r="AB16" s="334">
        <f>IF(ISNUMBER(Datos!R16),Datos!R16," - ")</f>
        <v>17</v>
      </c>
      <c r="AC16" s="334">
        <f t="shared" si="6"/>
        <v>209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0.95890410958904104</v>
      </c>
      <c r="AM16" s="260">
        <f>IF(ISNUMBER(((NºAsuntos!I16/NºAsuntos!G16)*11)/factor_trimestre),((NºAsuntos!I16/NºAsuntos!G16)*11)/factor_trimestre," - ")</f>
        <v>1.0971428571428572</v>
      </c>
      <c r="AN16" s="244">
        <f>IF(ISNUMBER('Resol  Asuntos'!D16/NºAsuntos!G16),'Resol  Asuntos'!D16/NºAsuntos!G16," - ")</f>
        <v>3.4285714285714287E-2</v>
      </c>
      <c r="AO16" s="245">
        <f>IF(ISNUMBER((NºAsuntos!C16+NºAsuntos!E16)/NºAsuntos!G16),(NºAsuntos!C16+NºAsuntos!E16)/NºAsuntos!G16," - ")</f>
        <v>1.5457142857142858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21</v>
      </c>
      <c r="AB17" s="334">
        <f>IF(ISNUMBER(Datos!R17),Datos!R17," - ")</f>
        <v>0</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0.71875</v>
      </c>
      <c r="AM17" s="260">
        <f>IF(ISNUMBER(((NºAsuntos!I17/NºAsuntos!G17)*11)/factor_trimestre),((NºAsuntos!I17/NºAsuntos!G17)*11)/factor_trimestre," - ")</f>
        <v>1.826086956521739</v>
      </c>
      <c r="AN17" s="244">
        <f>IF(ISNUMBER('Resol  Asuntos'!D17/NºAsuntos!G17),'Resol  Asuntos'!D17/NºAsuntos!G17," - ")</f>
        <v>8.6956521739130432E-2</v>
      </c>
      <c r="AO17" s="245">
        <f>IF(ISNUMBER((NºAsuntos!C17+NºAsuntos!E17)/NºAsuntos!G17),(NºAsuntos!C17+NºAsuntos!E17)/NºAsuntos!G17," - ")</f>
        <v>1.8695652173913044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177</v>
      </c>
      <c r="G18" s="866">
        <f>SUBTOTAL(9,G15:G17)</f>
        <v>187</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373</v>
      </c>
      <c r="X18" s="867">
        <f t="shared" si="11"/>
        <v>3</v>
      </c>
      <c r="Y18" s="868">
        <f t="shared" si="11"/>
        <v>376</v>
      </c>
      <c r="Z18" s="868">
        <f t="shared" si="11"/>
        <v>0</v>
      </c>
      <c r="AA18" s="868">
        <f t="shared" si="11"/>
        <v>213</v>
      </c>
      <c r="AB18" s="868">
        <f t="shared" si="11"/>
        <v>17</v>
      </c>
      <c r="AC18" s="868">
        <f t="shared" si="11"/>
        <v>230</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0.93954659949622166</v>
      </c>
      <c r="AM18" s="874">
        <f>IF(ISNUMBER(((NºAsuntos!I18/NºAsuntos!G18)*11)/factor_trimestre),((NºAsuntos!I18/NºAsuntos!G18)*11)/factor_trimestre," - ")</f>
        <v>1.1420911528150135</v>
      </c>
      <c r="AN18" s="875">
        <f>IF(ISNUMBER('Resol  Asuntos'!D18/NºAsuntos!G18),'Resol  Asuntos'!D18/NºAsuntos!G18," - ")</f>
        <v>3.7533512064343161E-2</v>
      </c>
      <c r="AO18" s="876">
        <f>IF(ISNUMBER((NºAsuntos!C18+NºAsuntos!E18)/NºAsuntos!G18),(NºAsuntos!C18+NºAsuntos!E18)/NºAsuntos!G18," - ")</f>
        <v>1.5656836461126005</v>
      </c>
      <c r="AP18" s="877" t="str">
        <f t="shared" si="2"/>
        <v xml:space="preserve"> - </v>
      </c>
      <c r="AQ18" s="877">
        <f>IF(ISNUMBER((H18-W18+K18)/(F18)),(H18-W18+K18)/(F18)," - ")</f>
        <v>-2.1073446327683616</v>
      </c>
      <c r="AR18" s="878">
        <f>IF(ISNUMBER((Datos!P18-Datos!Q18)/(Datos!R18-Datos!P18+Datos!Q18)),(Datos!P18-Datos!Q18)/(Datos!R18-Datos!P18+Datos!Q18)," - ")</f>
        <v>-0.10526315789473684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191</v>
      </c>
      <c r="G19" s="821">
        <f t="shared" si="13"/>
        <v>201</v>
      </c>
      <c r="H19" s="820">
        <f t="shared" si="13"/>
        <v>0</v>
      </c>
      <c r="I19" s="822">
        <f t="shared" si="13"/>
        <v>0</v>
      </c>
      <c r="J19" s="822">
        <f t="shared" si="13"/>
        <v>0</v>
      </c>
      <c r="K19" s="881">
        <f t="shared" si="13"/>
        <v>0</v>
      </c>
      <c r="L19" s="822">
        <f t="shared" si="13"/>
        <v>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374</v>
      </c>
      <c r="X19" s="821">
        <f t="shared" si="14"/>
        <v>30</v>
      </c>
      <c r="Y19" s="828">
        <f t="shared" si="14"/>
        <v>404</v>
      </c>
      <c r="Z19" s="828">
        <f t="shared" si="14"/>
        <v>0</v>
      </c>
      <c r="AA19" s="828">
        <f t="shared" si="14"/>
        <v>226</v>
      </c>
      <c r="AB19" s="828">
        <f t="shared" si="14"/>
        <v>1059</v>
      </c>
      <c r="AC19" s="828">
        <f t="shared" si="14"/>
        <v>245</v>
      </c>
      <c r="AD19" s="828">
        <f t="shared" si="14"/>
        <v>0</v>
      </c>
      <c r="AE19" s="830">
        <f t="shared" si="14"/>
        <v>0</v>
      </c>
      <c r="AF19" s="831">
        <f t="shared" si="14"/>
        <v>0</v>
      </c>
      <c r="AG19" s="832">
        <f t="shared" si="14"/>
        <v>0</v>
      </c>
      <c r="AH19" s="830">
        <f t="shared" si="14"/>
        <v>0</v>
      </c>
      <c r="AI19" s="820">
        <f t="shared" si="14"/>
        <v>40</v>
      </c>
      <c r="AJ19" s="820">
        <f t="shared" si="14"/>
        <v>0</v>
      </c>
      <c r="AK19" s="830">
        <f t="shared" si="14"/>
        <v>0</v>
      </c>
      <c r="AL19" s="884">
        <f>IF(ISNUMBER(NºAsuntos!G19/NºAsuntos!E19),NºAsuntos!G19/NºAsuntos!E19," - ")</f>
        <v>0.76783216783216779</v>
      </c>
      <c r="AM19" s="885">
        <f>IF(ISNUMBER(((NºAsuntos!I19/NºAsuntos!G19)*11)/factor_trimestre),((NºAsuntos!I19/NºAsuntos!G19)*11)/factor_trimestre," - ")</f>
        <v>3.6794171220400727</v>
      </c>
      <c r="AN19" s="885">
        <f>IF(ISNUMBER('Resol  Asuntos'!D19/NºAsuntos!G19),'Resol  Asuntos'!D19/NºAsuntos!G19," - ")</f>
        <v>7.2859744990892539E-2</v>
      </c>
      <c r="AO19" s="886">
        <f>IF(ISNUMBER((NºAsuntos!C19+NºAsuntos!E19)/NºAsuntos!G19),(NºAsuntos!C19+NºAsuntos!E19)/NºAsuntos!G19," - ")</f>
        <v>2.8360655737704916</v>
      </c>
      <c r="AP19" s="887" t="str">
        <f t="shared" si="2"/>
        <v xml:space="preserve"> - </v>
      </c>
      <c r="AQ19" s="888">
        <f>IF(OR(ISNUMBER(FIND("01",Criterios!A8,1)),ISNUMBER(FIND("02",Criterios!A8,1)),ISNUMBER(FIND("03",Criterios!A8,1)),ISNUMBER(FIND("04",Criterios!A8,1))),(I19-W19+K19)/(F19-K19),(H19-W19+K19)/(F19-K19))</f>
        <v>-1.9581151832460733</v>
      </c>
      <c r="AR19" s="889">
        <f>IF(ISNUMBER((Datos!P19-Datos!Q19)/(Datos!R19-Datos!P19+Datos!Q19)),(Datos!P19-Datos!Q19)/(Datos!R19-Datos!P19+Datos!Q19)," - ")</f>
        <v>2.8155339805825241E-2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80.400000000000006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94.108093877908999</v>
      </c>
      <c r="G21" s="253">
        <f>IF(ISNUMBER(STDEV(G8:G18)),STDEV(G8:G18),"-")</f>
        <v>92.381275158984465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193.81640797414445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11.219031449580068</v>
      </c>
      <c r="AJ21" s="252">
        <f t="shared" si="18"/>
        <v>0</v>
      </c>
      <c r="AK21" s="254">
        <f t="shared" si="18"/>
        <v>0</v>
      </c>
      <c r="AL21" s="249">
        <f t="shared" si="18"/>
        <v>0.19929847904326112</v>
      </c>
      <c r="AM21" s="250">
        <f t="shared" si="18"/>
        <v>9.5795082645777168</v>
      </c>
      <c r="AN21" s="250">
        <f t="shared" si="18"/>
        <v>6.2493309752610159E-2</v>
      </c>
      <c r="AO21" s="251">
        <f t="shared" si="18"/>
        <v>4.7965787366650954</v>
      </c>
      <c r="AP21" s="291" t="str">
        <f t="shared" si="18"/>
        <v>-</v>
      </c>
      <c r="AQ21" s="292">
        <f t="shared" si="18"/>
        <v>1.4396100528999725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sfuFGsVpcsGD6xLsoD/U9bVYLCHCk7ODPyDhNMmUB0Lv4pOmcEutYEs3GOjvUlBT6P6aiHYFbHhbm+q36u/C4g==" saltValue="UPaaT8RwcsKlrvLByKNP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CABRA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2.25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-0.10344827586206896</v>
      </c>
      <c r="I12" s="350">
        <f>IF(ISNUMBER((Tasas!C12-Datos!BE12)/Datos!BE12),(Tasas!C12-Datos!BE12)/Datos!BE12," - ")</f>
        <v>0.60178770949720684</v>
      </c>
      <c r="J12" s="349">
        <f>IF(ISNUMBER((Tasas!D12-Datos!BF12)/Datos!BF12),(Tasas!D12-Datos!BF12)/Datos!BF12," - ")</f>
        <v>-0.74301158301158299</v>
      </c>
      <c r="K12" s="351">
        <f>IF(ISNUMBER((Tasas!E12-Datos!BG12)/Datos!BG12),(Tasas!E12-Datos!BG12)/Datos!BG12," - ")</f>
        <v>0.44329218106995893</v>
      </c>
      <c r="M12" t="e">
        <f>IF(Monitorios="SI",Datos!CE12,0)</f>
        <v>#REF!</v>
      </c>
      <c r="N12" t="e">
        <f>IF(Monitorios="SI",Datos!CF12,0)</f>
        <v>#REF!</v>
      </c>
      <c r="O12" t="e">
        <f>IF(Monitorios="SI",Datos!CG12,0)</f>
        <v>#REF!</v>
      </c>
      <c r="P12" t="e">
        <f>IF(Monitorios="SI",Datos!CH12,0)</f>
        <v>#REF!</v>
      </c>
      <c r="Q12">
        <f>IF(J_V="SI",0,Datos!AG12)</f>
        <v>41</v>
      </c>
      <c r="R12">
        <f>IF(J_V="SI",0,Datos!AH12)</f>
        <v>39</v>
      </c>
      <c r="S12">
        <f>IF(J_V="SI",0,Datos!AI12)</f>
        <v>45</v>
      </c>
      <c r="T12">
        <f>IF(J_V="SI",0,Datos!AJ12)</f>
        <v>35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-0.10344827586206896</v>
      </c>
      <c r="I13" s="357">
        <f>IF(ISNUMBER((Tasas!C13-Datos!BE13)/Datos!BE13),(Tasas!C13-Datos!BE13)/Datos!BE13," - ")</f>
        <v>0.60712485296588792</v>
      </c>
      <c r="J13" s="355">
        <f>IF(ISNUMBER((Tasas!D13-Datos!BF13)/Datos!BF13),(Tasas!D13-Datos!BF13)/Datos!BF13," - ")</f>
        <v>-0.74447174447174447</v>
      </c>
      <c r="K13" s="358">
        <f>IF(ISNUMBER((Tasas!E13-Datos!BG13)/Datos!BG13),(Tasas!E13-Datos!BG13)/Datos!BG13," - ")</f>
        <v>0.44809624209351351</v>
      </c>
      <c r="M13" t="e">
        <f>IF(Monitorios="SI",Datos!CE13,0)</f>
        <v>#REF!</v>
      </c>
      <c r="N13" t="e">
        <f>IF(Monitorios="SI",Datos!CF13,0)</f>
        <v>#REF!</v>
      </c>
      <c r="O13" t="e">
        <f>IF(Monitorios="SI",Datos!CG13,0)</f>
        <v>#REF!</v>
      </c>
      <c r="P13" t="e">
        <f>IF(Monitorios="SI",Datos!CH13,0)</f>
        <v>#REF!</v>
      </c>
      <c r="Q13">
        <f>IF(J_V="SI",0,Datos!AG13)</f>
        <v>41</v>
      </c>
      <c r="R13">
        <f>IF(J_V="SI",0,Datos!AH13)</f>
        <v>39</v>
      </c>
      <c r="S13">
        <f>IF(J_V="SI",0,Datos!AI13)</f>
        <v>45</v>
      </c>
      <c r="T13">
        <f>IF(J_V="SI",0,Datos!AJ13)</f>
        <v>35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v>
      </c>
      <c r="E16" s="348">
        <f>IF(ISNUMBER(
   IF(D_I="SI",(Datos!J16-Datos!T16)/Datos!T16,(Datos!J16+Datos!AD16-(Datos!T16+Datos!AL16))/(Datos!T16+Datos!AL16))
     ),IF(D_I="SI",(Datos!J16-Datos!T16)/Datos!T16,(Datos!J16+Datos!AD16-(Datos!T16+Datos!AL16))/(Datos!T16+Datos!AL16))," - ")</f>
        <v>-0.22340425531914893</v>
      </c>
      <c r="F16" s="348">
        <f>IF(ISNUMBER(
   IF(D_I="SI",(Datos!K16-Datos!U16)/Datos!U16,(Datos!K16+Datos!AE16-(Datos!U16+Datos!AM16))/(Datos!U16+Datos!AM16))
     ),IF(D_I="SI",(Datos!K16-Datos!U16)/Datos!U16,(Datos!K16+Datos!AE16-(Datos!U16+Datos!AM16))/(Datos!U16+Datos!AM16))," - ")</f>
        <v>-0.125</v>
      </c>
      <c r="G16" s="349">
        <f>IF(ISNUMBER(
   IF(D_I="SI",(Datos!L16-Datos!V16)/Datos!V16,(Datos!L16+Datos!AF16-(Datos!V16+Datos!AN16))/(Datos!V16+Datos!AN16))
     ),IF(D_I="SI",(Datos!L16-Datos!V16)/Datos!V16,(Datos!L16+Datos!AF16-(Datos!V16+Datos!AN16))/(Datos!V16+Datos!AN16))," - ")</f>
        <v>-0.33793103448275863</v>
      </c>
      <c r="H16" s="230">
        <f>IF(ISNUMBER((Datos!M16-Datos!W16)/Datos!W16),(Datos!M16-Datos!W16)/Datos!W16," - ")</f>
        <v>-0.52</v>
      </c>
      <c r="I16" s="350">
        <f>IF(ISNUMBER((Tasas!C16-Datos!BE16)/Datos!BE16),(Tasas!C16-Datos!BE16)/Datos!BE16," - ")</f>
        <v>-0.24334975369458123</v>
      </c>
      <c r="J16" s="349">
        <f>IF(ISNUMBER((Tasas!D16-Datos!BF16)/Datos!BF16),(Tasas!D16-Datos!BF16)/Datos!BF16," - ")</f>
        <v>-0.4514285714285714</v>
      </c>
      <c r="K16" s="351">
        <f>IF(ISNUMBER((Tasas!E16-Datos!BG16)/Datos!BG16),(Tasas!E16-Datos!BG16)/Datos!BG16," - ")</f>
        <v>-0.10393374741200827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-8.3333333333333329E-2</v>
      </c>
      <c r="E17" s="348">
        <f>IF(ISNUMBER(
   IF(D_I="SI",(Datos!J17-Datos!T17)/Datos!T17,(Datos!J17+Datos!AD17-(Datos!T17+Datos!AL17))/(Datos!T17+Datos!AL17))
     ),IF(D_I="SI",(Datos!J17-Datos!T17)/Datos!T17,(Datos!J17+Datos!AD17-(Datos!T17+Datos!AL17))/(Datos!T17+Datos!AL17))," - ")</f>
        <v>0.14285714285714285</v>
      </c>
      <c r="F17" s="348">
        <f>IF(ISNUMBER(
   IF(D_I="SI",(Datos!K17-Datos!U17)/Datos!U17,(Datos!K17+Datos!AE17-(Datos!U17+Datos!AM17))/(Datos!U17+Datos!AM17))
     ),IF(D_I="SI",(Datos!K17-Datos!U17)/Datos!U17,(Datos!K17+Datos!AE17-(Datos!U17+Datos!AM17))/(Datos!U17+Datos!AM17))," - ")</f>
        <v>-0.28125</v>
      </c>
      <c r="G17" s="349">
        <f>IF(ISNUMBER(
   IF(D_I="SI",(Datos!L17-Datos!V17)/Datos!V17,(Datos!L17+Datos!AF17-(Datos!V17+Datos!AN17))/(Datos!V17+Datos!AN17))
     ),IF(D_I="SI",(Datos!L17-Datos!V17)/Datos!V17,(Datos!L17+Datos!AF17-(Datos!V17+Datos!AN17))/(Datos!V17+Datos!AN17))," - ")</f>
        <v>1.625</v>
      </c>
      <c r="H17" s="230">
        <f>IF(ISNUMBER((Datos!M17-Datos!W17)/Datos!W17),(Datos!M17-Datos!W17)/Datos!W17," - ")</f>
        <v>-0.7142857142857143</v>
      </c>
      <c r="I17" s="350">
        <f>IF(ISNUMBER((Tasas!C17-Datos!BE17)/Datos!BE17),(Tasas!C17-Datos!BE17)/Datos!BE17," - ")</f>
        <v>2.652173913043478</v>
      </c>
      <c r="J17" s="349">
        <f>IF(ISNUMBER((Tasas!D17-Datos!BF17)/Datos!BF17),(Tasas!D17-Datos!BF17)/Datos!BF17," - ")</f>
        <v>-0.60248447204968947</v>
      </c>
      <c r="K17" s="351">
        <f>IF(ISNUMBER((Tasas!E17-Datos!BG17)/Datos!BG17),(Tasas!E17-Datos!BG17)/Datos!BG17," - ")</f>
        <v>0.49565217391304356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-0.19396551724137931</v>
      </c>
      <c r="E18" s="354">
        <f>IF(ISNUMBER(
   IF(D_I="SI",(Datos!J18-Datos!T18)/Datos!T18,(Datos!J18+Datos!AD18-(Datos!T18+Datos!AL18))/(Datos!T18+Datos!AL18))
     ),IF(D_I="SI",(Datos!J18-Datos!T18)/Datos!T18,(Datos!J18+Datos!AD18-(Datos!T18+Datos!AL18))/(Datos!T18+Datos!AL18))," - ")</f>
        <v>-0.20281124497991967</v>
      </c>
      <c r="F18" s="354">
        <f>IF(ISNUMBER(
   IF(D_I="SI",(Datos!K18-Datos!U18)/Datos!U18,(Datos!K18+Datos!AE18-(Datos!U18+Datos!AM18))/(Datos!U18+Datos!AM18))
     ),IF(D_I="SI",(Datos!K18-Datos!U18)/Datos!U18,(Datos!K18+Datos!AE18-(Datos!U18+Datos!AM18))/(Datos!U18+Datos!AM18))," - ")</f>
        <v>-0.13657407407407407</v>
      </c>
      <c r="G18" s="355">
        <f>IF(ISNUMBER(
   IF(D_I="SI",(Datos!L18-Datos!V18)/Datos!V18,(Datos!L18+Datos!AF18-(Datos!V18+Datos!AN18))/(Datos!V18+Datos!AN18))
     ),IF(D_I="SI",(Datos!L18-Datos!V18)/Datos!V18,(Datos!L18+Datos!AF18-(Datos!V18+Datos!AN18))/(Datos!V18+Datos!AN18))," - ")</f>
        <v>-0.28523489932885904</v>
      </c>
      <c r="H18" s="356">
        <f>IF(ISNUMBER((Datos!M18-Datos!W18)/Datos!W18),(Datos!M18-Datos!W18)/Datos!W18," - ")</f>
        <v>-0.5625</v>
      </c>
      <c r="I18" s="357">
        <f>IF(ISNUMBER((Tasas!C18-Datos!BE18)/Datos!BE18),(Tasas!C18-Datos!BE18)/Datos!BE18," - ")</f>
        <v>-0.17217554024146667</v>
      </c>
      <c r="J18" s="355">
        <f>IF(ISNUMBER((Tasas!D18-Datos!BF18)/Datos!BF18),(Tasas!D18-Datos!BF18)/Datos!BF18," - ")</f>
        <v>-0.49329758713136729</v>
      </c>
      <c r="K18" s="358">
        <f>IF(ISNUMBER((Tasas!E18-Datos!BG18)/Datos!BG18),(Tasas!E18-Datos!BG18)/Datos!BG18," - ")</f>
        <v>-7.3458445040214551E-2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0.15342465753424658</v>
      </c>
      <c r="E19" s="363">
        <f>IF(ISNUMBER(
   IF(J_V="SI",(Datos!J19-Datos!T19)/Datos!T19,(Datos!J19+Datos!Z19-(Datos!T19+Datos!AH19))/(Datos!T19+Datos!AH19))
     ),IF(J_V="SI",(Datos!J19-Datos!T19)/Datos!T19,(Datos!J19+Datos!Z19-(Datos!T19+Datos!AH19))/(Datos!T19+Datos!AH19))," - ")</f>
        <v>-2.4556616643929059E-2</v>
      </c>
      <c r="F19" s="363">
        <f>IF(ISNUMBER(
   IF(J_V="SI",(Datos!K19-Datos!U19)/Datos!U19,(Datos!K19+Datos!AA19-(Datos!U19+Datos!AI19))/(Datos!U19+Datos!AI19))
     ),IF(J_V="SI",(Datos!K19-Datos!U19)/Datos!U19,(Datos!K19+Datos!AA19-(Datos!U19+Datos!AI19))/(Datos!U19+Datos!AI19))," - ")</f>
        <v>-0.1201923076923077</v>
      </c>
      <c r="G19" s="364">
        <f>IF(ISNUMBER(
   IF(J_V="SI",(Datos!L19-Datos!V19)/Datos!V19,(Datos!L19+Datos!AB19-(Datos!V19+Datos!AJ19))/(Datos!V19+Datos!AJ19))
     ),IF(J_V="SI",(Datos!L19-Datos!V19)/Datos!V19,(Datos!L19+Datos!AB19-(Datos!V19+Datos!AJ19))/(Datos!V19+Datos!AJ19))," - ")</f>
        <v>0.20381406436233612</v>
      </c>
      <c r="H19" s="365">
        <f>IF(ISNUMBER((Datos!M19-Datos!W19)/Datos!W19),(Datos!M19-Datos!W19)/Datos!W19," - ")</f>
        <v>-0.34426229508196721</v>
      </c>
      <c r="I19" s="362">
        <f>IF(ISNUMBER((Tasas!C19-Datos!BE19)/Datos!BE19),(Tasas!C19-Datos!BE19)/Datos!BE19," - ")</f>
        <v>0.36826953763587911</v>
      </c>
      <c r="J19" s="363">
        <f>IF(ISNUMBER((Tasas!D19-Datos!BF19)/Datos!BF19),(Tasas!D19-Datos!BF19)/Datos!BF19," - ")</f>
        <v>-0.68206656731246895</v>
      </c>
      <c r="K19" s="364">
        <f>IF(ISNUMBER((Tasas!E19-Datos!BG19)/Datos!BG19),(Tasas!E19-Datos!BG19)/Datos!BG19," - ")</f>
        <v>0.2096410922985556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1.330631063487242</v>
      </c>
      <c r="E21" s="278">
        <f t="shared" si="1"/>
        <v>0.20577419591174756</v>
      </c>
      <c r="F21" s="278">
        <f t="shared" si="1"/>
        <v>8.7062377287012077E-2</v>
      </c>
      <c r="G21" s="279">
        <f t="shared" si="1"/>
        <v>1.3235149077810338</v>
      </c>
      <c r="H21" s="285">
        <f t="shared" si="1"/>
        <v>0.28083130993794442</v>
      </c>
      <c r="I21" s="277">
        <f t="shared" si="1"/>
        <v>1.1703910294758992</v>
      </c>
      <c r="J21" s="278">
        <f t="shared" si="1"/>
        <v>0.13651804878995508</v>
      </c>
      <c r="K21" s="279">
        <f t="shared" si="1"/>
        <v>0.30270356453039404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gQxd4v/ZYIq4UAIb9XcNzlBLMfO+EmJDcQESK0HCOsnyI9KDSApJ4TPslwERazxBjbysdwVAFlyxbcc8mZlbQ==" saltValue="Xr/8z9dIw94dCsSVVj82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2024-11-29T09:30:01Z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